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nmakdosya\Kullanıcılar\Cem Coşkun\Belgeler\web\2023\4_03.04\"/>
    </mc:Choice>
  </mc:AlternateContent>
  <bookViews>
    <workbookView xWindow="0" yWindow="0" windowWidth="19200" windowHeight="7050"/>
  </bookViews>
  <sheets>
    <sheet name="20230403_3142711_tenmak" sheetId="1" r:id="rId1"/>
  </sheets>
  <calcPr calcId="0"/>
</workbook>
</file>

<file path=xl/calcChain.xml><?xml version="1.0" encoding="utf-8"?>
<calcChain xmlns="http://schemas.openxmlformats.org/spreadsheetml/2006/main">
  <c r="D8617" i="1" l="1"/>
  <c r="D4766" i="1"/>
  <c r="D7568" i="1"/>
  <c r="D300" i="1"/>
  <c r="D3908" i="1"/>
  <c r="D5133" i="1"/>
  <c r="D2987" i="1"/>
  <c r="D7532" i="1"/>
  <c r="D7419" i="1"/>
  <c r="D6309" i="1"/>
  <c r="D7869" i="1"/>
  <c r="D3805" i="1"/>
  <c r="D7694" i="1"/>
  <c r="D6641" i="1"/>
  <c r="D210" i="1"/>
  <c r="D6499" i="1"/>
  <c r="D3266" i="1"/>
  <c r="D5941" i="1"/>
  <c r="D3381" i="1"/>
  <c r="D8137" i="1"/>
  <c r="D3312" i="1"/>
  <c r="D7562" i="1"/>
  <c r="D3508" i="1"/>
  <c r="D7809" i="1"/>
  <c r="D3121" i="1"/>
  <c r="D7364" i="1"/>
  <c r="D4680" i="1"/>
  <c r="D5366" i="1"/>
  <c r="D3013" i="1"/>
  <c r="D6955" i="1"/>
  <c r="D5891" i="1"/>
  <c r="D3132" i="1"/>
  <c r="D7631" i="1"/>
  <c r="D8642" i="1"/>
  <c r="D7457" i="1"/>
  <c r="D6397" i="1"/>
  <c r="D4741" i="1"/>
  <c r="D5955" i="1"/>
  <c r="D4139" i="1"/>
  <c r="D4869" i="1"/>
  <c r="D2405" i="1"/>
  <c r="D1018" i="1"/>
  <c r="D1310" i="1"/>
  <c r="D3720" i="1"/>
  <c r="D4144" i="1"/>
  <c r="D4728" i="1"/>
  <c r="D4813" i="1"/>
  <c r="D4534" i="1"/>
  <c r="D1452" i="1"/>
  <c r="D4152" i="1"/>
  <c r="D4073" i="1"/>
  <c r="D7630" i="1"/>
  <c r="D6905" i="1"/>
  <c r="D8131" i="1"/>
  <c r="D3371" i="1"/>
  <c r="D4538" i="1"/>
  <c r="D8116" i="1"/>
  <c r="D7061" i="1"/>
  <c r="D4120" i="1"/>
  <c r="D7845" i="1"/>
  <c r="D3497" i="1"/>
  <c r="D7528" i="1"/>
  <c r="D2764" i="1"/>
  <c r="D3655" i="1"/>
  <c r="D6863" i="1"/>
  <c r="D3745" i="1"/>
  <c r="D149" i="1"/>
  <c r="D1108" i="1"/>
  <c r="D8144" i="1"/>
  <c r="D6533" i="1"/>
  <c r="D8616" i="1"/>
  <c r="D2808" i="1"/>
  <c r="D4027" i="1"/>
  <c r="D2730" i="1"/>
  <c r="D4560" i="1"/>
  <c r="D4655" i="1"/>
  <c r="D7696" i="1"/>
  <c r="D7580" i="1"/>
  <c r="D7796" i="1"/>
  <c r="D7406" i="1"/>
  <c r="D6276" i="1"/>
  <c r="D1203" i="1"/>
  <c r="D7808" i="1"/>
  <c r="D7488" i="1"/>
  <c r="D7461" i="1"/>
  <c r="D7490" i="1"/>
  <c r="D7608" i="1"/>
  <c r="D7802" i="1"/>
  <c r="D1741" i="1"/>
  <c r="D6954" i="1"/>
  <c r="D7492" i="1"/>
  <c r="D7581" i="1"/>
  <c r="D320" i="1"/>
  <c r="D2976" i="1"/>
  <c r="D7583" i="1"/>
  <c r="D3670" i="1"/>
  <c r="D4641" i="1"/>
  <c r="D3320" i="1"/>
  <c r="D7195" i="1"/>
  <c r="D7648" i="1"/>
  <c r="D6266" i="1"/>
  <c r="D6593" i="1"/>
  <c r="D8086" i="1"/>
  <c r="D6976" i="1"/>
  <c r="D2994" i="1"/>
  <c r="D7684" i="1"/>
  <c r="D8520" i="1"/>
  <c r="D7816" i="1"/>
  <c r="D1874" i="1"/>
  <c r="D7582" i="1"/>
  <c r="D3526" i="1"/>
  <c r="D3447" i="1"/>
  <c r="D4299" i="1"/>
  <c r="D3683" i="1"/>
  <c r="D5062" i="1"/>
  <c r="D5006" i="1"/>
  <c r="D6911" i="1"/>
  <c r="D900" i="1"/>
  <c r="D1823" i="1"/>
  <c r="D7362" i="1"/>
  <c r="D6354" i="1"/>
  <c r="D6948" i="1"/>
  <c r="D3588" i="1"/>
  <c r="D4406" i="1"/>
  <c r="D4896" i="1"/>
  <c r="D6597" i="1"/>
  <c r="D7666" i="1"/>
  <c r="D7268" i="1"/>
  <c r="D4193" i="1"/>
  <c r="D8463" i="1"/>
  <c r="D7906" i="1"/>
  <c r="D1371" i="1"/>
  <c r="D3401" i="1"/>
  <c r="D3482" i="1"/>
  <c r="D2124" i="1"/>
  <c r="D3221" i="1"/>
  <c r="D3659" i="1"/>
  <c r="D2611" i="1"/>
  <c r="D1767" i="1"/>
  <c r="D5926" i="1"/>
  <c r="D556" i="1"/>
  <c r="D4535" i="1"/>
  <c r="D7891" i="1"/>
  <c r="D7360" i="1"/>
  <c r="D745" i="1"/>
  <c r="D6949" i="1"/>
  <c r="D5034" i="1"/>
  <c r="D9" i="1"/>
  <c r="D1901" i="1"/>
  <c r="D5426" i="1"/>
  <c r="D1036" i="1"/>
  <c r="D1826" i="1"/>
  <c r="D7509" i="1"/>
  <c r="D1797" i="1"/>
  <c r="D246" i="1"/>
  <c r="D7048" i="1"/>
  <c r="D890" i="1"/>
  <c r="D1977" i="1"/>
  <c r="D3227" i="1"/>
  <c r="D7561" i="1"/>
  <c r="D509" i="1"/>
  <c r="D250" i="1"/>
  <c r="D4122" i="1"/>
  <c r="D5841" i="1"/>
  <c r="D4142" i="1"/>
  <c r="D6496" i="1"/>
  <c r="D5451" i="1"/>
  <c r="D1580" i="1"/>
  <c r="D1384" i="1"/>
  <c r="D779" i="1"/>
  <c r="D8006" i="1"/>
  <c r="D2799" i="1"/>
  <c r="D7901" i="1"/>
  <c r="D1175" i="1"/>
  <c r="D2823" i="1"/>
  <c r="D3412" i="1"/>
  <c r="D4496" i="1"/>
  <c r="D5259" i="1"/>
  <c r="D8633" i="1"/>
  <c r="D1352" i="1"/>
  <c r="D7418" i="1"/>
  <c r="D4100" i="1"/>
  <c r="D4380" i="1"/>
  <c r="D4834" i="1"/>
  <c r="D7431" i="1"/>
  <c r="D7716" i="1"/>
  <c r="D7805" i="1"/>
  <c r="D104" i="1"/>
  <c r="D504" i="1"/>
  <c r="D1015" i="1"/>
  <c r="D1456" i="1"/>
  <c r="D1473" i="1"/>
  <c r="D7546" i="1"/>
  <c r="D7770" i="1"/>
  <c r="D7772" i="1"/>
  <c r="D8164" i="1"/>
  <c r="D8641" i="1"/>
  <c r="D1153" i="1"/>
  <c r="D5126" i="1"/>
  <c r="D6890" i="1"/>
  <c r="D7358" i="1"/>
  <c r="D1390" i="1"/>
  <c r="D1485" i="1"/>
  <c r="D1706" i="1"/>
  <c r="D2618" i="1"/>
  <c r="D3074" i="1"/>
  <c r="D4968" i="1"/>
  <c r="D6356" i="1"/>
  <c r="D8162" i="1"/>
  <c r="D8548" i="1"/>
  <c r="D8663" i="1"/>
  <c r="D391" i="1"/>
  <c r="D433" i="1"/>
  <c r="D1522" i="1"/>
  <c r="D4668" i="1"/>
  <c r="D5436" i="1"/>
  <c r="D7426" i="1"/>
  <c r="D7658" i="1"/>
  <c r="D5150" i="1"/>
  <c r="D4707" i="1"/>
  <c r="D7832" i="1"/>
  <c r="D7710" i="1"/>
  <c r="D8625" i="1"/>
  <c r="D7138" i="1"/>
  <c r="D2774" i="1"/>
  <c r="D7908" i="1"/>
  <c r="D5801" i="1"/>
  <c r="D8624" i="1"/>
  <c r="D2789" i="1"/>
  <c r="D3178" i="1"/>
  <c r="D8404" i="1"/>
  <c r="D8626" i="1"/>
  <c r="D8403" i="1"/>
  <c r="D6789" i="1"/>
  <c r="D3441" i="1"/>
  <c r="D1530" i="1"/>
  <c r="D4025" i="1"/>
  <c r="D8623" i="1"/>
  <c r="D5806" i="1"/>
  <c r="D532" i="1"/>
  <c r="D6401" i="1"/>
  <c r="D3100" i="1"/>
  <c r="D5936" i="1"/>
  <c r="D1676" i="1"/>
  <c r="D7863" i="1"/>
  <c r="D1654" i="1"/>
  <c r="D1365" i="1"/>
  <c r="D8170" i="1"/>
  <c r="D5498" i="1"/>
  <c r="D4841" i="1"/>
  <c r="D3640" i="1"/>
  <c r="D2154" i="1"/>
  <c r="D202" i="1"/>
  <c r="D5381" i="1"/>
  <c r="D8417" i="1"/>
  <c r="D7628" i="1"/>
  <c r="D6451" i="1"/>
  <c r="D6400" i="1"/>
  <c r="D6399" i="1"/>
  <c r="D6739" i="1"/>
  <c r="D2127" i="1"/>
  <c r="D3402" i="1"/>
  <c r="D3635" i="1"/>
  <c r="D7844" i="1"/>
  <c r="D958" i="1"/>
  <c r="D6543" i="1"/>
  <c r="D2706" i="1"/>
  <c r="D2824" i="1"/>
  <c r="D5127" i="1"/>
  <c r="D6616" i="1"/>
  <c r="D785" i="1"/>
  <c r="D1139" i="1"/>
  <c r="D7792" i="1"/>
  <c r="D5199" i="1"/>
  <c r="D4532" i="1"/>
  <c r="D6327" i="1"/>
  <c r="D668" i="1"/>
  <c r="D1561" i="1"/>
  <c r="D1821" i="1"/>
  <c r="D1782" i="1"/>
  <c r="D8762" i="1"/>
  <c r="D1904" i="1"/>
  <c r="D4343" i="1"/>
  <c r="D1905" i="1"/>
  <c r="D1632" i="1"/>
  <c r="D3331" i="1"/>
  <c r="D548" i="1"/>
  <c r="D3649" i="1"/>
  <c r="D374" i="1"/>
  <c r="D8117" i="1"/>
  <c r="D7598" i="1"/>
  <c r="D1559" i="1"/>
  <c r="D7952" i="1"/>
  <c r="D4943" i="1"/>
  <c r="D5253" i="1"/>
  <c r="D5203" i="1"/>
  <c r="D2915" i="1"/>
  <c r="D6795" i="1"/>
  <c r="D6611" i="1"/>
  <c r="D67" i="1"/>
  <c r="D136" i="1"/>
  <c r="D943" i="1"/>
  <c r="D980" i="1"/>
  <c r="D3836" i="1"/>
  <c r="D5207" i="1"/>
  <c r="D6544" i="1"/>
  <c r="D4684" i="1"/>
  <c r="D4682" i="1"/>
  <c r="D4683" i="1"/>
  <c r="D582" i="1"/>
  <c r="D2857" i="1"/>
  <c r="D432" i="1"/>
  <c r="D6820" i="1"/>
  <c r="D8519" i="1"/>
  <c r="D5413" i="1"/>
  <c r="D2326" i="1"/>
  <c r="D1564" i="1"/>
  <c r="D3942" i="1"/>
  <c r="D2644" i="1"/>
  <c r="D5658" i="1"/>
  <c r="D487" i="1"/>
  <c r="D1863" i="1"/>
  <c r="D7331" i="1"/>
  <c r="D3364" i="1"/>
  <c r="D8726" i="1"/>
  <c r="D434" i="1"/>
  <c r="D3274" i="1"/>
  <c r="D3304" i="1"/>
  <c r="D1440" i="1"/>
  <c r="D7022" i="1"/>
  <c r="D6437" i="1"/>
  <c r="D7267" i="1"/>
  <c r="D4836" i="1"/>
  <c r="D2985" i="1"/>
  <c r="D7408" i="1"/>
  <c r="D8699" i="1"/>
  <c r="D5671" i="1"/>
  <c r="D4176" i="1"/>
  <c r="D3883" i="1"/>
  <c r="D6913" i="1"/>
  <c r="D6669" i="1"/>
  <c r="D2758" i="1"/>
  <c r="D8296" i="1"/>
  <c r="D2966" i="1"/>
  <c r="D5976" i="1"/>
  <c r="D4046" i="1"/>
  <c r="D1445" i="1"/>
  <c r="D5866" i="1"/>
  <c r="D4758" i="1"/>
  <c r="D5675" i="1"/>
  <c r="D4652" i="1"/>
  <c r="D8083" i="1"/>
  <c r="D2885" i="1"/>
  <c r="D3828" i="1"/>
  <c r="D2945" i="1"/>
  <c r="D6001" i="1"/>
  <c r="D2497" i="1"/>
  <c r="D4983" i="1"/>
  <c r="D8035" i="1"/>
  <c r="D7815" i="1"/>
  <c r="D3262" i="1"/>
  <c r="D6919" i="1"/>
  <c r="D203" i="1"/>
  <c r="D4669" i="1"/>
  <c r="D915" i="1"/>
  <c r="D513" i="1"/>
  <c r="D4049" i="1"/>
  <c r="D4790" i="1"/>
  <c r="D1486" i="1"/>
  <c r="D4800" i="1"/>
  <c r="D3969" i="1"/>
  <c r="D5011" i="1"/>
  <c r="D2631" i="1"/>
  <c r="D546" i="1"/>
  <c r="D4078" i="1"/>
  <c r="D7606" i="1"/>
  <c r="D7339" i="1"/>
  <c r="D975" i="1"/>
  <c r="D3218" i="1"/>
  <c r="D4906" i="1"/>
  <c r="D5093" i="1"/>
  <c r="D3677" i="1"/>
  <c r="D5933" i="1"/>
  <c r="D8564" i="1"/>
  <c r="D4402" i="1"/>
  <c r="D7465" i="1"/>
  <c r="D2325" i="1"/>
  <c r="D3383" i="1"/>
  <c r="D2386" i="1"/>
  <c r="D4785" i="1"/>
  <c r="D441" i="1"/>
  <c r="D1275" i="1"/>
  <c r="D4334" i="1"/>
  <c r="D6569" i="1"/>
  <c r="D2499" i="1"/>
  <c r="D5346" i="1"/>
  <c r="D7829" i="1"/>
  <c r="D630" i="1"/>
  <c r="D7307" i="1"/>
  <c r="D45" i="1"/>
  <c r="D1285" i="1"/>
  <c r="D844" i="1"/>
  <c r="D6920" i="1"/>
  <c r="D672" i="1"/>
  <c r="D8353" i="1"/>
  <c r="D8512" i="1"/>
  <c r="D7703" i="1"/>
  <c r="D910" i="1"/>
  <c r="D5864" i="1"/>
  <c r="D479" i="1"/>
  <c r="D3931" i="1"/>
  <c r="D5652" i="1"/>
  <c r="D7429" i="1"/>
  <c r="D7480" i="1"/>
  <c r="D2605" i="1"/>
  <c r="D4088" i="1"/>
  <c r="D7556" i="1"/>
  <c r="D2884" i="1"/>
  <c r="D3157" i="1"/>
  <c r="D7519" i="1"/>
  <c r="D8727" i="1"/>
  <c r="D2743" i="1"/>
  <c r="D4679" i="1"/>
  <c r="D8178" i="1"/>
  <c r="D1820" i="1"/>
  <c r="D153" i="1"/>
  <c r="D885" i="1"/>
  <c r="D506" i="1"/>
  <c r="D474" i="1"/>
  <c r="D903" i="1"/>
  <c r="D7510" i="1"/>
  <c r="D754" i="1"/>
  <c r="D592" i="1"/>
  <c r="D1136" i="1"/>
  <c r="D2025" i="1"/>
  <c r="D4281" i="1"/>
  <c r="D3686" i="1"/>
  <c r="D1591" i="1"/>
  <c r="D4400" i="1"/>
  <c r="D4149" i="1"/>
  <c r="D781" i="1"/>
  <c r="D2067" i="1"/>
  <c r="D1788" i="1"/>
  <c r="D7000" i="1"/>
  <c r="D8166" i="1"/>
  <c r="D1906" i="1"/>
  <c r="D1621" i="1"/>
  <c r="D8313" i="1"/>
  <c r="D2190" i="1"/>
  <c r="D555" i="1"/>
  <c r="D1994" i="1"/>
  <c r="D1835" i="1"/>
  <c r="D1983" i="1"/>
  <c r="D5695" i="1"/>
  <c r="D1044" i="1"/>
  <c r="D8361" i="1"/>
  <c r="D2189" i="1"/>
  <c r="D1771" i="1"/>
  <c r="D3261" i="1"/>
  <c r="D1593" i="1"/>
  <c r="D2218" i="1"/>
  <c r="D2188" i="1"/>
  <c r="D6016" i="1"/>
  <c r="D2033" i="1"/>
  <c r="D4490" i="1"/>
  <c r="D1836" i="1"/>
  <c r="D2822" i="1"/>
  <c r="D2217" i="1"/>
  <c r="D858" i="1"/>
  <c r="D1822" i="1"/>
  <c r="D2087" i="1"/>
  <c r="D5650" i="1"/>
  <c r="D8314" i="1"/>
  <c r="D4313" i="1"/>
  <c r="D3480" i="1"/>
  <c r="D3473" i="1"/>
  <c r="D2765" i="1"/>
  <c r="D1640" i="1"/>
  <c r="D8177" i="1"/>
  <c r="D3111" i="1"/>
  <c r="D1819" i="1"/>
  <c r="D8311" i="1"/>
  <c r="D8517" i="1"/>
  <c r="D1899" i="1"/>
  <c r="D1787" i="1"/>
  <c r="D3337" i="1"/>
  <c r="D1037" i="1"/>
  <c r="D2005" i="1"/>
  <c r="D1622" i="1"/>
  <c r="D3476" i="1"/>
  <c r="D2697" i="1"/>
  <c r="D1594" i="1"/>
  <c r="D5693" i="1"/>
  <c r="D1572" i="1"/>
  <c r="D6993" i="1"/>
  <c r="D6002" i="1"/>
  <c r="D4261" i="1"/>
  <c r="D364" i="1"/>
  <c r="D363" i="1"/>
  <c r="D373" i="1"/>
  <c r="D370" i="1"/>
  <c r="D362" i="1"/>
  <c r="D372" i="1"/>
  <c r="D371" i="1"/>
  <c r="D369" i="1"/>
  <c r="D368" i="1"/>
  <c r="D366" i="1"/>
  <c r="D365" i="1"/>
  <c r="D4295" i="1"/>
  <c r="D1893" i="1"/>
  <c r="D2957" i="1"/>
  <c r="D3050" i="1"/>
  <c r="D8319" i="1"/>
  <c r="D6427" i="1"/>
  <c r="D3135" i="1"/>
  <c r="D2172" i="1"/>
  <c r="D1806" i="1"/>
  <c r="D6665" i="1"/>
  <c r="D2178" i="1"/>
  <c r="D1838" i="1"/>
  <c r="D4312" i="1"/>
  <c r="D1894" i="1"/>
  <c r="D3016" i="1"/>
  <c r="D476" i="1"/>
  <c r="D2803" i="1"/>
  <c r="D4128" i="1"/>
  <c r="D3835" i="1"/>
  <c r="D7611" i="1"/>
  <c r="D178" i="1"/>
  <c r="D2456" i="1"/>
  <c r="D4397" i="1"/>
  <c r="D4095" i="1"/>
  <c r="D2889" i="1"/>
  <c r="D7786" i="1"/>
  <c r="D112" i="1"/>
  <c r="D2879" i="1"/>
  <c r="D7513" i="1"/>
  <c r="D152" i="1"/>
  <c r="D3660" i="1"/>
  <c r="D392" i="1"/>
  <c r="D8395" i="1"/>
  <c r="D2419" i="1"/>
  <c r="D110" i="1"/>
  <c r="D2717" i="1"/>
  <c r="D4551" i="1"/>
  <c r="D1121" i="1"/>
  <c r="D1526" i="1"/>
  <c r="D4187" i="1"/>
  <c r="D1479" i="1"/>
  <c r="D7623" i="1"/>
  <c r="D383" i="1"/>
  <c r="D6753" i="1"/>
  <c r="D4099" i="1"/>
  <c r="D7054" i="1"/>
  <c r="D743" i="1"/>
  <c r="D1110" i="1"/>
  <c r="D8079" i="1"/>
  <c r="D1221" i="1"/>
  <c r="D6768" i="1"/>
  <c r="D8087" i="1"/>
  <c r="D6617" i="1"/>
  <c r="D7565" i="1"/>
  <c r="D3140" i="1"/>
  <c r="D5344" i="1"/>
  <c r="D6212" i="1"/>
  <c r="D7460" i="1"/>
  <c r="D6613" i="1"/>
  <c r="D6615" i="1"/>
  <c r="D4388" i="1"/>
  <c r="D5028" i="1"/>
  <c r="D1471" i="1"/>
  <c r="D824" i="1"/>
  <c r="D1082" i="1"/>
  <c r="D8388" i="1"/>
  <c r="D6914" i="1"/>
  <c r="D4090" i="1"/>
  <c r="D1046" i="1"/>
  <c r="D7828" i="1"/>
  <c r="D7401" i="1"/>
  <c r="D5878" i="1"/>
  <c r="D1880" i="1"/>
  <c r="D2712" i="1"/>
  <c r="D1318" i="1"/>
  <c r="D826" i="1"/>
  <c r="D527" i="1"/>
  <c r="D7012" i="1"/>
  <c r="D2841" i="1"/>
  <c r="D3076" i="1"/>
  <c r="D6595" i="1"/>
  <c r="D6478" i="1"/>
  <c r="D735" i="1"/>
  <c r="D3876" i="1"/>
  <c r="D8484" i="1"/>
  <c r="D4413" i="1"/>
  <c r="D2637" i="1"/>
  <c r="D3793" i="1"/>
  <c r="D931" i="1"/>
  <c r="D2476" i="1"/>
  <c r="D1921" i="1"/>
  <c r="D851" i="1"/>
  <c r="D5293" i="1"/>
  <c r="D5579" i="1"/>
  <c r="D5234" i="1"/>
  <c r="D8106" i="1"/>
  <c r="D2546" i="1"/>
  <c r="D2506" i="1"/>
  <c r="D8104" i="1"/>
  <c r="D5071" i="1"/>
  <c r="D5769" i="1"/>
  <c r="D6051" i="1"/>
  <c r="D272" i="1"/>
  <c r="D6052" i="1"/>
  <c r="D2171" i="1"/>
  <c r="D60" i="1"/>
  <c r="D7200" i="1"/>
  <c r="D239" i="1"/>
  <c r="D5805" i="1"/>
  <c r="D7036" i="1"/>
  <c r="D1916" i="1"/>
  <c r="D1908" i="1"/>
  <c r="D3608" i="1"/>
  <c r="D3025" i="1"/>
  <c r="D7021" i="1"/>
  <c r="D5961" i="1"/>
  <c r="D455" i="1"/>
  <c r="D8495" i="1"/>
  <c r="D2563" i="1"/>
  <c r="D3290" i="1"/>
  <c r="D3546" i="1"/>
  <c r="D2732" i="1"/>
  <c r="D384" i="1"/>
  <c r="D5567" i="1"/>
  <c r="D6453" i="1"/>
  <c r="D8121" i="1"/>
  <c r="D2406" i="1"/>
  <c r="D4914" i="1"/>
  <c r="D8011" i="1"/>
  <c r="D6892" i="1"/>
  <c r="D3336" i="1"/>
  <c r="D1185" i="1"/>
  <c r="D2852" i="1"/>
  <c r="D5066" i="1"/>
  <c r="D456" i="1"/>
  <c r="D6376" i="1"/>
  <c r="D8615" i="1"/>
  <c r="D2162" i="1"/>
  <c r="D7286" i="1"/>
  <c r="D5266" i="1"/>
  <c r="D6783" i="1"/>
  <c r="D5348" i="1"/>
  <c r="D6360" i="1"/>
  <c r="D1599" i="1"/>
  <c r="D1052" i="1"/>
  <c r="D8596" i="1"/>
  <c r="D5559" i="1"/>
  <c r="D6835" i="1"/>
  <c r="D1645" i="1"/>
  <c r="D5604" i="1"/>
  <c r="D886" i="1"/>
  <c r="D8380" i="1"/>
  <c r="D1224" i="1"/>
  <c r="D4492" i="1"/>
  <c r="D2760" i="1"/>
  <c r="D8225" i="1"/>
  <c r="D5068" i="1"/>
  <c r="D5815" i="1"/>
  <c r="D5867" i="1"/>
  <c r="D5503" i="1"/>
  <c r="D4632" i="1"/>
  <c r="D3398" i="1"/>
  <c r="D2349" i="1"/>
  <c r="D553" i="1"/>
  <c r="D7096" i="1"/>
  <c r="D1882" i="1"/>
  <c r="D4243" i="1"/>
  <c r="D2531" i="1"/>
  <c r="D7968" i="1"/>
  <c r="D6620" i="1"/>
  <c r="D4014" i="1"/>
  <c r="D2662" i="1"/>
  <c r="D2237" i="1"/>
  <c r="D8108" i="1"/>
  <c r="D6528" i="1"/>
  <c r="D2022" i="1"/>
  <c r="D1466" i="1"/>
  <c r="D2530" i="1"/>
  <c r="D220" i="1"/>
  <c r="D2947" i="1"/>
  <c r="D6874" i="1"/>
  <c r="D7207" i="1"/>
  <c r="D690" i="1"/>
  <c r="D3547" i="1"/>
  <c r="D8729" i="1"/>
  <c r="D2021" i="1"/>
  <c r="D8749" i="1"/>
  <c r="D6446" i="1"/>
  <c r="D8731" i="1"/>
  <c r="D2793" i="1"/>
  <c r="D2690" i="1"/>
  <c r="D3231" i="1"/>
  <c r="D1884" i="1"/>
  <c r="D1105" i="1"/>
  <c r="D1886" i="1"/>
  <c r="D3597" i="1"/>
  <c r="D3552" i="1"/>
  <c r="D4618" i="1"/>
  <c r="D7843" i="1"/>
  <c r="D6519" i="1"/>
  <c r="D8261" i="1"/>
  <c r="D1050" i="1"/>
  <c r="D1336" i="1"/>
  <c r="D7029" i="1"/>
  <c r="D4252" i="1"/>
  <c r="D2532" i="1"/>
  <c r="D5004" i="1"/>
  <c r="D7295" i="1"/>
  <c r="D5499" i="1"/>
  <c r="D6495" i="1"/>
  <c r="D6723" i="1"/>
  <c r="D6494" i="1"/>
  <c r="D4876" i="1"/>
  <c r="D2328" i="1"/>
  <c r="D1984" i="1"/>
  <c r="D2740" i="1"/>
  <c r="D5002" i="1"/>
  <c r="D2742" i="1"/>
  <c r="D4858" i="1"/>
  <c r="D979" i="1"/>
  <c r="D4475" i="1"/>
  <c r="D2854" i="1"/>
  <c r="D8185" i="1"/>
  <c r="D8412" i="1"/>
  <c r="D2186" i="1"/>
  <c r="D6670" i="1"/>
  <c r="D4269" i="1"/>
  <c r="D5656" i="1"/>
  <c r="D8184" i="1"/>
  <c r="D791" i="1"/>
  <c r="D840" i="1"/>
  <c r="D3193" i="1"/>
  <c r="D8348" i="1"/>
  <c r="D5962" i="1"/>
  <c r="D6672" i="1"/>
  <c r="D2636" i="1"/>
  <c r="D5909" i="1"/>
  <c r="D1939" i="1"/>
  <c r="D3890" i="1"/>
  <c r="D6392" i="1"/>
  <c r="D5268" i="1"/>
  <c r="D1282" i="1"/>
  <c r="D8579" i="1"/>
  <c r="D7296" i="1"/>
  <c r="D5495" i="1"/>
  <c r="D8248" i="1"/>
  <c r="D83" i="1"/>
  <c r="D2528" i="1"/>
  <c r="D378" i="1"/>
  <c r="D5754" i="1"/>
  <c r="D7058" i="1"/>
  <c r="D2689" i="1"/>
  <c r="D7242" i="1"/>
  <c r="D8183" i="1"/>
  <c r="D933" i="1"/>
  <c r="D8597" i="1"/>
  <c r="D6953" i="1"/>
  <c r="D736" i="1"/>
  <c r="D6188" i="1"/>
  <c r="D8346" i="1"/>
  <c r="D2747" i="1"/>
  <c r="D7119" i="1"/>
  <c r="D1763" i="1"/>
  <c r="D5557" i="1"/>
  <c r="D4241" i="1"/>
  <c r="D3740" i="1"/>
  <c r="D249" i="1"/>
  <c r="D4268" i="1"/>
  <c r="D2524" i="1"/>
  <c r="D6394" i="1"/>
  <c r="D2348" i="1"/>
  <c r="D2694" i="1"/>
  <c r="D8109" i="1"/>
  <c r="D1925" i="1"/>
  <c r="D940" i="1"/>
  <c r="D8743" i="1"/>
  <c r="D8180" i="1"/>
  <c r="D2748" i="1"/>
  <c r="D2559" i="1"/>
  <c r="D7882" i="1"/>
  <c r="D6375" i="1"/>
  <c r="D6423" i="1"/>
  <c r="D6479" i="1"/>
  <c r="D1003" i="1"/>
  <c r="D4068" i="1"/>
  <c r="D3419" i="1"/>
  <c r="D1117" i="1"/>
  <c r="D8182" i="1"/>
  <c r="D6448" i="1"/>
  <c r="D4500" i="1"/>
  <c r="D480" i="1"/>
  <c r="D3097" i="1"/>
  <c r="D402" i="1"/>
  <c r="D778" i="1"/>
  <c r="D5237" i="1"/>
  <c r="D1774" i="1"/>
  <c r="D3399" i="1"/>
  <c r="D5711" i="1"/>
  <c r="D3956" i="1"/>
  <c r="D1413" i="1"/>
  <c r="D1320" i="1"/>
  <c r="D733" i="1"/>
  <c r="D4888" i="1"/>
  <c r="D8312" i="1"/>
  <c r="D8608" i="1"/>
  <c r="D2224" i="1"/>
  <c r="D6355" i="1"/>
  <c r="D5069" i="1"/>
  <c r="D4278" i="1"/>
  <c r="D8181" i="1"/>
  <c r="D257" i="1"/>
  <c r="D8538" i="1"/>
  <c r="D7023" i="1"/>
  <c r="D6183" i="1"/>
  <c r="D6333" i="1"/>
  <c r="D8370" i="1"/>
  <c r="D7970" i="1"/>
  <c r="D1428" i="1"/>
  <c r="D6374" i="1"/>
  <c r="D2874" i="1"/>
  <c r="D5555" i="1"/>
  <c r="D6568" i="1"/>
  <c r="D5808" i="1"/>
  <c r="D5764" i="1"/>
  <c r="D8466" i="1"/>
  <c r="D82" i="1"/>
  <c r="D5053" i="1"/>
  <c r="D6664" i="1"/>
  <c r="D4394" i="1"/>
  <c r="D6334" i="1"/>
  <c r="D5592" i="1"/>
  <c r="D2548" i="1"/>
  <c r="D29" i="1"/>
  <c r="D454" i="1"/>
  <c r="D3349" i="1"/>
  <c r="D4625" i="1"/>
  <c r="D1454" i="1"/>
  <c r="D458" i="1"/>
  <c r="D4765" i="1"/>
  <c r="D2545" i="1"/>
  <c r="D2698" i="1"/>
  <c r="D5855" i="1"/>
  <c r="D5558" i="1"/>
  <c r="D7306" i="1"/>
  <c r="D5965" i="1"/>
  <c r="D4959" i="1"/>
  <c r="D1242" i="1"/>
  <c r="D4587" i="1"/>
  <c r="D8293" i="1"/>
  <c r="D6908" i="1"/>
  <c r="D7600" i="1"/>
  <c r="D3103" i="1"/>
  <c r="D167" i="1"/>
  <c r="D7336" i="1"/>
  <c r="D7456" i="1"/>
  <c r="D4506" i="1"/>
  <c r="D2274" i="1"/>
  <c r="D8566" i="1"/>
  <c r="D7795" i="1"/>
  <c r="D3189" i="1"/>
  <c r="D7432" i="1"/>
  <c r="D995" i="1"/>
  <c r="D5734" i="1"/>
  <c r="D4521" i="1"/>
  <c r="D1172" i="1"/>
  <c r="D7458" i="1"/>
  <c r="D8635" i="1"/>
  <c r="D7659" i="1"/>
  <c r="D5583" i="1"/>
  <c r="D1251" i="1"/>
  <c r="D7791" i="1"/>
  <c r="D6021" i="1"/>
  <c r="D7350" i="1"/>
  <c r="D1022" i="1"/>
  <c r="D7343" i="1"/>
  <c r="D7312" i="1"/>
  <c r="D8376" i="1"/>
  <c r="D4080" i="1"/>
  <c r="D2478" i="1"/>
  <c r="D3593" i="1"/>
  <c r="D7051" i="1"/>
  <c r="D7398" i="1"/>
  <c r="D8681" i="1"/>
  <c r="D874" i="1"/>
  <c r="D7252" i="1"/>
  <c r="D8695" i="1"/>
  <c r="D3691" i="1"/>
  <c r="D2988" i="1"/>
  <c r="D5584" i="1"/>
  <c r="D199" i="1"/>
  <c r="D3839" i="1"/>
  <c r="D1173" i="1"/>
  <c r="D1755" i="1"/>
  <c r="D7357" i="1"/>
  <c r="D3307" i="1"/>
  <c r="D8159" i="1"/>
  <c r="D4434" i="1"/>
  <c r="D6275" i="1"/>
  <c r="D4432" i="1"/>
  <c r="D5123" i="1"/>
  <c r="D7329" i="1"/>
  <c r="D2588" i="1"/>
  <c r="D3492" i="1"/>
  <c r="D4372" i="1"/>
  <c r="D1367" i="1"/>
  <c r="D8399" i="1"/>
  <c r="D5973" i="1"/>
  <c r="D6182" i="1"/>
  <c r="D8095" i="1"/>
  <c r="D4353" i="1"/>
  <c r="D1435" i="1"/>
  <c r="D7293" i="1"/>
  <c r="D5854" i="1"/>
  <c r="D4505" i="1"/>
  <c r="D4439" i="1"/>
  <c r="D1687" i="1"/>
  <c r="D2806" i="1"/>
  <c r="D7025" i="1"/>
  <c r="D6324" i="1"/>
  <c r="D342" i="1"/>
  <c r="D2429" i="1"/>
  <c r="D3493" i="1"/>
  <c r="D1312" i="1"/>
  <c r="D6561" i="1"/>
  <c r="D5743" i="1"/>
  <c r="D3937" i="1"/>
  <c r="D2779" i="1"/>
  <c r="D4330" i="1"/>
  <c r="D6179" i="1"/>
  <c r="D4355" i="1"/>
  <c r="D6736" i="1"/>
  <c r="D8096" i="1"/>
  <c r="D4435" i="1"/>
  <c r="D4510" i="1"/>
  <c r="D3083" i="1"/>
  <c r="D4513" i="1"/>
  <c r="D3662" i="1"/>
  <c r="D4440" i="1"/>
  <c r="D3291" i="1"/>
  <c r="D7167" i="1"/>
  <c r="D4759" i="1"/>
  <c r="D4360" i="1"/>
  <c r="D4359" i="1"/>
  <c r="D4515" i="1"/>
  <c r="D2427" i="1"/>
  <c r="D4442" i="1"/>
  <c r="D4438" i="1"/>
  <c r="D4441" i="1"/>
  <c r="D2995" i="1"/>
  <c r="D4508" i="1"/>
  <c r="D1304" i="1"/>
  <c r="D2371" i="1"/>
  <c r="D420" i="1"/>
  <c r="D3780" i="1"/>
  <c r="D1720" i="1"/>
  <c r="D8661" i="1"/>
  <c r="D8553" i="1"/>
  <c r="D8644" i="1"/>
  <c r="D7483" i="1"/>
  <c r="D1459" i="1"/>
  <c r="D2114" i="1"/>
  <c r="D4199" i="1"/>
  <c r="D683" i="1"/>
  <c r="D599" i="1"/>
  <c r="D214" i="1"/>
  <c r="D6887" i="1"/>
  <c r="D4714" i="1"/>
  <c r="D4886" i="1"/>
  <c r="D700" i="1"/>
  <c r="D5912" i="1"/>
  <c r="D8322" i="1"/>
  <c r="D8480" i="1"/>
  <c r="D862" i="1"/>
  <c r="D4250" i="1"/>
  <c r="D8598" i="1"/>
  <c r="D2770" i="1"/>
  <c r="D8226" i="1"/>
  <c r="D598" i="1"/>
  <c r="D1453" i="1"/>
  <c r="D1924" i="1"/>
  <c r="D973" i="1"/>
  <c r="D2849" i="1"/>
  <c r="D8269" i="1"/>
  <c r="D3981" i="1"/>
  <c r="D2573" i="1"/>
  <c r="D710" i="1"/>
  <c r="D1856" i="1"/>
  <c r="D7902" i="1"/>
  <c r="D3171" i="1"/>
  <c r="D4815" i="1"/>
  <c r="D484" i="1"/>
  <c r="D7753" i="1"/>
  <c r="D3012" i="1"/>
  <c r="D1960" i="1"/>
  <c r="D2768" i="1"/>
  <c r="D1298" i="1"/>
  <c r="D8542" i="1"/>
  <c r="D8655" i="1"/>
  <c r="D3386" i="1"/>
  <c r="D1228" i="1"/>
  <c r="D5765" i="1"/>
  <c r="D7609" i="1"/>
  <c r="D7778" i="1"/>
  <c r="D8371" i="1"/>
  <c r="D7751" i="1"/>
  <c r="D5664" i="1"/>
  <c r="D4389" i="1"/>
  <c r="D2997" i="1"/>
  <c r="D2282" i="1"/>
  <c r="D2972" i="1"/>
  <c r="D4976" i="1"/>
  <c r="D4419" i="1"/>
  <c r="D5863" i="1"/>
  <c r="D5428" i="1"/>
  <c r="D7129" i="1"/>
  <c r="D1719" i="1"/>
  <c r="D5543" i="1"/>
  <c r="D7769" i="1"/>
  <c r="D5852" i="1"/>
  <c r="D8321" i="1"/>
  <c r="D7530" i="1"/>
  <c r="D3133" i="1"/>
  <c r="D1575" i="1"/>
  <c r="D219" i="1"/>
  <c r="D1038" i="1"/>
  <c r="D1315" i="1"/>
  <c r="D3897" i="1"/>
  <c r="D5992" i="1"/>
  <c r="D3323" i="1"/>
  <c r="D4504" i="1"/>
  <c r="D2534" i="1"/>
  <c r="D247" i="1"/>
  <c r="D2020" i="1"/>
  <c r="D7143" i="1"/>
  <c r="D5832" i="1"/>
  <c r="D1780" i="1"/>
  <c r="D8366" i="1"/>
  <c r="D7393" i="1"/>
  <c r="D4880" i="1"/>
  <c r="D4881" i="1"/>
  <c r="D4879" i="1"/>
  <c r="D1280" i="1"/>
  <c r="D6335" i="1"/>
  <c r="D1287" i="1"/>
  <c r="D1807" i="1"/>
  <c r="D2062" i="1"/>
  <c r="D896" i="1"/>
  <c r="D4239" i="1"/>
  <c r="D3772" i="1"/>
  <c r="D5828" i="1"/>
  <c r="D7946" i="1"/>
  <c r="D4053" i="1"/>
  <c r="D2109" i="1"/>
  <c r="D8533" i="1"/>
  <c r="D3957" i="1"/>
  <c r="D367" i="1"/>
  <c r="D5715" i="1"/>
  <c r="D560" i="1"/>
  <c r="D7359" i="1"/>
  <c r="D6872" i="1"/>
  <c r="D5525" i="1"/>
  <c r="D85" i="1"/>
  <c r="D8586" i="1"/>
  <c r="D324" i="1"/>
  <c r="D7698" i="1"/>
  <c r="D7285" i="1"/>
  <c r="D6799" i="1"/>
  <c r="D4961" i="1"/>
  <c r="D166" i="1"/>
  <c r="D5038" i="1"/>
  <c r="D2693" i="1"/>
  <c r="D3516" i="1"/>
  <c r="D7613" i="1"/>
  <c r="D2536" i="1"/>
  <c r="D942" i="1"/>
  <c r="D7824" i="1"/>
  <c r="D7173" i="1"/>
  <c r="D120" i="1"/>
  <c r="D3928" i="1"/>
  <c r="D3115" i="1"/>
  <c r="D7678" i="1"/>
  <c r="D4610" i="1"/>
  <c r="D6294" i="1"/>
  <c r="D1617" i="1"/>
  <c r="D3104" i="1"/>
  <c r="D8092" i="1"/>
  <c r="D3082" i="1"/>
  <c r="D7931" i="1"/>
  <c r="D7057" i="1"/>
  <c r="D2195" i="1"/>
  <c r="D7780" i="1"/>
  <c r="D951" i="1"/>
  <c r="D3119" i="1"/>
  <c r="D5113" i="1"/>
  <c r="D4204" i="1"/>
  <c r="D6749" i="1"/>
  <c r="D699" i="1"/>
  <c r="D8013" i="1"/>
  <c r="D5228" i="1"/>
  <c r="D4387" i="1"/>
  <c r="D8609" i="1"/>
  <c r="D2064" i="1"/>
  <c r="D2333" i="1"/>
  <c r="D3781" i="1"/>
  <c r="D1155" i="1"/>
  <c r="D793" i="1"/>
  <c r="D377" i="1"/>
  <c r="D879" i="1"/>
  <c r="D8358" i="1"/>
  <c r="D159" i="1"/>
  <c r="D5153" i="1"/>
  <c r="D7313" i="1"/>
  <c r="D1447" i="1"/>
  <c r="D7622" i="1"/>
  <c r="D280" i="1"/>
  <c r="D4898" i="1"/>
  <c r="D7594" i="1"/>
  <c r="D2861" i="1"/>
  <c r="D6904" i="1"/>
  <c r="D1006" i="1"/>
  <c r="D4851" i="1"/>
  <c r="D5041" i="1"/>
  <c r="D6572" i="1"/>
  <c r="D6710" i="1"/>
  <c r="D6943" i="1"/>
  <c r="D3545" i="1"/>
  <c r="D1114" i="1"/>
  <c r="D5033" i="1"/>
  <c r="D6418" i="1"/>
  <c r="D3611" i="1"/>
  <c r="D7171" i="1"/>
  <c r="D7067" i="1"/>
  <c r="D2968" i="1"/>
  <c r="D1879" i="1"/>
  <c r="D1225" i="1"/>
  <c r="D468" i="1"/>
  <c r="D5917" i="1"/>
  <c r="D5529" i="1"/>
  <c r="D2307" i="1"/>
  <c r="D8232" i="1"/>
  <c r="D633" i="1"/>
  <c r="D2866" i="1"/>
  <c r="D4079" i="1"/>
  <c r="D2642" i="1"/>
  <c r="D107" i="1"/>
  <c r="D1743" i="1"/>
  <c r="D382" i="1"/>
  <c r="D636" i="1"/>
  <c r="D2651" i="1"/>
  <c r="D449" i="1"/>
  <c r="D4658" i="1"/>
  <c r="D1276" i="1"/>
  <c r="D5776" i="1"/>
  <c r="D3841" i="1"/>
  <c r="D1042" i="1"/>
  <c r="D7657" i="1"/>
  <c r="D3786" i="1"/>
  <c r="D7024" i="1"/>
  <c r="D7075" i="1"/>
  <c r="D5065" i="1"/>
  <c r="D3298" i="1"/>
  <c r="D8270" i="1"/>
  <c r="D5825" i="1"/>
  <c r="D3815" i="1"/>
  <c r="D2851" i="1"/>
  <c r="D5271" i="1"/>
  <c r="D2452" i="1"/>
  <c r="D5448" i="1"/>
  <c r="D1414" i="1"/>
  <c r="D5752" i="1"/>
  <c r="D2365" i="1"/>
  <c r="D7203" i="1"/>
  <c r="D1328" i="1"/>
  <c r="D8287" i="1"/>
  <c r="D1069" i="1"/>
  <c r="D4650" i="1"/>
  <c r="D8367" i="1"/>
  <c r="D5581" i="1"/>
  <c r="D6756" i="1"/>
  <c r="D5463" i="1"/>
  <c r="D7940" i="1"/>
  <c r="D7536" i="1"/>
  <c r="D1071" i="1"/>
  <c r="D6767" i="1"/>
  <c r="D528" i="1"/>
  <c r="D7069" i="1"/>
  <c r="D437" i="1"/>
  <c r="D748" i="1"/>
  <c r="D4954" i="1"/>
  <c r="D7156" i="1"/>
  <c r="D7097" i="1"/>
  <c r="D6705" i="1"/>
  <c r="D7079" i="1"/>
  <c r="D98" i="1"/>
  <c r="D8684" i="1"/>
  <c r="D2518" i="1"/>
  <c r="D5334" i="1"/>
  <c r="D1433" i="1"/>
  <c r="D8041" i="1"/>
  <c r="D4032" i="1"/>
  <c r="D5128" i="1"/>
  <c r="D103" i="1"/>
  <c r="D4699" i="1"/>
  <c r="D3341" i="1"/>
  <c r="D5281" i="1"/>
  <c r="D6823" i="1"/>
  <c r="D1637" i="1"/>
  <c r="D7402" i="1"/>
  <c r="D3929" i="1"/>
  <c r="D3093" i="1"/>
  <c r="D3158" i="1"/>
  <c r="D6952" i="1"/>
  <c r="D422" i="1"/>
  <c r="D581" i="1"/>
  <c r="D119" i="1"/>
  <c r="D6477" i="1"/>
  <c r="D1567" i="1"/>
  <c r="D8285" i="1"/>
  <c r="D1248" i="1"/>
  <c r="D6758" i="1"/>
  <c r="D4941" i="1"/>
  <c r="D4137" i="1"/>
  <c r="D7800" i="1"/>
  <c r="D3046" i="1"/>
  <c r="D2749" i="1"/>
  <c r="D8428" i="1"/>
  <c r="D3530" i="1"/>
  <c r="D8105" i="1"/>
  <c r="D1861" i="1"/>
  <c r="D4179" i="1"/>
  <c r="D8486" i="1"/>
  <c r="D1556" i="1"/>
  <c r="D2084" i="1"/>
  <c r="D4860" i="1"/>
  <c r="D6456" i="1"/>
  <c r="D7473" i="1"/>
  <c r="D7282" i="1"/>
  <c r="D4222" i="1"/>
  <c r="D7810" i="1"/>
  <c r="D846" i="1"/>
  <c r="D831" i="1"/>
  <c r="D4566" i="1"/>
  <c r="D4489" i="1"/>
  <c r="D2755" i="1"/>
  <c r="D3165" i="1"/>
  <c r="D3600" i="1"/>
  <c r="D2661" i="1"/>
  <c r="D1956" i="1"/>
  <c r="D2332" i="1"/>
  <c r="D8284" i="1"/>
  <c r="D3920" i="1"/>
  <c r="D4431" i="1"/>
  <c r="D1937" i="1"/>
  <c r="D2602" i="1"/>
  <c r="D4516" i="1"/>
  <c r="D2984" i="1"/>
  <c r="D3434" i="1"/>
  <c r="D3219" i="1"/>
  <c r="D3220" i="1"/>
  <c r="D2412" i="1"/>
  <c r="D4466" i="1"/>
  <c r="D8134" i="1"/>
  <c r="D4341" i="1"/>
  <c r="D5635" i="1"/>
  <c r="D8298" i="1"/>
  <c r="D3965" i="1"/>
  <c r="D7462" i="1"/>
  <c r="D1754" i="1"/>
  <c r="D5894" i="1"/>
  <c r="D4912" i="1"/>
  <c r="D3292" i="1"/>
  <c r="D3708" i="1"/>
  <c r="D7999" i="1"/>
  <c r="D5980" i="1"/>
  <c r="D8408" i="1"/>
  <c r="D1010" i="1"/>
  <c r="D4543" i="1"/>
  <c r="D5292" i="1"/>
  <c r="D1682" i="1"/>
  <c r="D8516" i="1"/>
  <c r="D8295" i="1"/>
  <c r="D1895" i="1"/>
  <c r="D5225" i="1"/>
  <c r="D3322" i="1"/>
  <c r="D7870" i="1"/>
  <c r="D6886" i="1"/>
  <c r="D310" i="1"/>
  <c r="D7027" i="1"/>
  <c r="D8637" i="1"/>
  <c r="D3319" i="1"/>
  <c r="D423" i="1"/>
  <c r="D5407" i="1"/>
  <c r="D5402" i="1"/>
  <c r="D7003" i="1"/>
  <c r="D5818" i="1"/>
  <c r="D5509" i="1"/>
  <c r="D5763" i="1"/>
  <c r="D5449" i="1"/>
  <c r="D3857" i="1"/>
  <c r="D3194" i="1"/>
  <c r="D5949" i="1"/>
  <c r="D2110" i="1"/>
  <c r="D2946" i="1"/>
  <c r="D3300" i="1"/>
  <c r="D116" i="1"/>
  <c r="D7839" i="1"/>
  <c r="D2285" i="1"/>
  <c r="D5636" i="1"/>
  <c r="D5833" i="1"/>
  <c r="D8174" i="1"/>
  <c r="D2360" i="1"/>
  <c r="D5406" i="1"/>
  <c r="D5927" i="1"/>
  <c r="D3705" i="1"/>
  <c r="D4568" i="1"/>
  <c r="D7640" i="1"/>
  <c r="D2954" i="1"/>
  <c r="D2529" i="1"/>
  <c r="D8043" i="1"/>
  <c r="D4713" i="1"/>
  <c r="D2672" i="1"/>
  <c r="D4495" i="1"/>
  <c r="D7679" i="1"/>
  <c r="D4789" i="1"/>
  <c r="D1933" i="1"/>
  <c r="D607" i="1"/>
  <c r="D622" i="1"/>
  <c r="D7410" i="1"/>
  <c r="D7924" i="1"/>
  <c r="D3026" i="1"/>
  <c r="D14" i="1"/>
  <c r="D4450" i="1"/>
  <c r="D2346" i="1"/>
  <c r="D7017" i="1"/>
  <c r="D4916" i="1"/>
  <c r="D2415" i="1"/>
  <c r="D3984" i="1"/>
  <c r="D1765" i="1"/>
  <c r="D4760" i="1"/>
  <c r="D666" i="1"/>
  <c r="D7893" i="1"/>
  <c r="D408" i="1"/>
  <c r="D8485" i="1"/>
  <c r="D6336" i="1"/>
  <c r="D7275" i="1"/>
  <c r="D604" i="1"/>
  <c r="D3460" i="1"/>
  <c r="D7122" i="1"/>
  <c r="D4386" i="1"/>
  <c r="D5272" i="1"/>
  <c r="D7303" i="1"/>
  <c r="D7072" i="1"/>
  <c r="D7113" i="1"/>
  <c r="D4511" i="1"/>
  <c r="D693" i="1"/>
  <c r="D430" i="1"/>
  <c r="D5330" i="1"/>
  <c r="D1317" i="1"/>
  <c r="D6730" i="1"/>
  <c r="D1131" i="1"/>
  <c r="D5422" i="1"/>
  <c r="D4692" i="1"/>
  <c r="D4823" i="1"/>
  <c r="D1141" i="1"/>
  <c r="D2277" i="1"/>
  <c r="D359" i="1"/>
  <c r="D5536" i="1"/>
  <c r="D8368" i="1"/>
  <c r="D6298" i="1"/>
  <c r="D7409" i="1"/>
  <c r="D2451" i="1"/>
  <c r="D6737" i="1"/>
  <c r="D137" i="1"/>
  <c r="D6548" i="1"/>
  <c r="D4041" i="1"/>
  <c r="D7400" i="1"/>
  <c r="D7549" i="1"/>
  <c r="D6523" i="1"/>
  <c r="D8286" i="1"/>
  <c r="D5931" i="1"/>
  <c r="D6455" i="1"/>
  <c r="D5222" i="1"/>
  <c r="D5845" i="1"/>
  <c r="D5308" i="1"/>
  <c r="D5414" i="1"/>
  <c r="D5235" i="1"/>
  <c r="D8143" i="1"/>
  <c r="D8613" i="1"/>
  <c r="D5437" i="1"/>
  <c r="D2446" i="1"/>
  <c r="D5513" i="1"/>
  <c r="D8690" i="1"/>
  <c r="D2598" i="1"/>
  <c r="D4028" i="1"/>
  <c r="D5599" i="1"/>
  <c r="D8081" i="1"/>
  <c r="D792" i="1"/>
  <c r="D852" i="1"/>
  <c r="D7086" i="1"/>
  <c r="D4231" i="1"/>
  <c r="D6171" i="1"/>
  <c r="D1600" i="1"/>
  <c r="D6636" i="1"/>
  <c r="D6025" i="1"/>
  <c r="D1383" i="1"/>
  <c r="D902" i="1"/>
  <c r="D5192" i="1"/>
  <c r="D7455" i="1"/>
  <c r="D6434" i="1"/>
  <c r="D4957" i="1"/>
  <c r="D4702" i="1"/>
  <c r="D2258" i="1"/>
  <c r="D2769" i="1"/>
  <c r="D7552" i="1"/>
  <c r="D8359" i="1"/>
  <c r="D4582" i="1"/>
  <c r="D5519" i="1"/>
  <c r="D8643" i="1"/>
  <c r="D6421" i="1"/>
  <c r="D4227" i="1"/>
  <c r="D5539" i="1"/>
  <c r="D1186" i="1"/>
  <c r="D6439" i="1"/>
  <c r="D4054" i="1"/>
  <c r="D888" i="1"/>
  <c r="D4783" i="1"/>
  <c r="D662" i="1"/>
  <c r="D311" i="1"/>
  <c r="D6899" i="1"/>
  <c r="D1128" i="1"/>
  <c r="D3066" i="1"/>
  <c r="D7159" i="1"/>
  <c r="D8026" i="1"/>
  <c r="D565" i="1"/>
  <c r="D5014" i="1"/>
  <c r="D682" i="1"/>
  <c r="D652" i="1"/>
  <c r="D3854" i="1"/>
  <c r="D7718" i="1"/>
  <c r="D3287" i="1"/>
  <c r="D1031" i="1"/>
  <c r="D6273" i="1"/>
  <c r="D2971" i="1"/>
  <c r="D88" i="1"/>
  <c r="D5218" i="1"/>
  <c r="D934" i="1"/>
  <c r="D6604" i="1"/>
  <c r="D6717" i="1"/>
  <c r="D7557" i="1"/>
  <c r="D6806" i="1"/>
  <c r="D6804" i="1"/>
  <c r="D5045" i="1"/>
  <c r="D2436" i="1"/>
  <c r="D2414" i="1"/>
  <c r="D4401" i="1"/>
  <c r="D2856" i="1"/>
  <c r="D8074" i="1"/>
  <c r="D4147" i="1"/>
  <c r="D3721" i="1"/>
  <c r="D2652" i="1"/>
  <c r="D758" i="1"/>
  <c r="D1068" i="1"/>
  <c r="D8240" i="1"/>
  <c r="D6912" i="1"/>
  <c r="D7382" i="1"/>
  <c r="D7070" i="1"/>
  <c r="D6562" i="1"/>
  <c r="D7722" i="1"/>
  <c r="D4021" i="1"/>
  <c r="D5250" i="1"/>
  <c r="D782" i="1"/>
  <c r="D8455" i="1"/>
  <c r="D8543" i="1"/>
  <c r="D6700" i="1"/>
  <c r="D1726" i="1"/>
  <c r="D4074" i="1"/>
  <c r="D279" i="1"/>
  <c r="D3818" i="1"/>
  <c r="D2169" i="1"/>
  <c r="D5423" i="1"/>
  <c r="D3947" i="1"/>
  <c r="D1918" i="1"/>
  <c r="D8532" i="1"/>
  <c r="D7639" i="1"/>
  <c r="D8274" i="1"/>
  <c r="D4526" i="1"/>
  <c r="D5372" i="1"/>
  <c r="D2718" i="1"/>
  <c r="D1385" i="1"/>
  <c r="D4518" i="1"/>
  <c r="D7318" i="1"/>
  <c r="D3577" i="1"/>
  <c r="D7082" i="1"/>
  <c r="D4114" i="1"/>
  <c r="D1168" i="1"/>
  <c r="D3054" i="1"/>
  <c r="D5595" i="1"/>
  <c r="D2537" i="1"/>
  <c r="D6926" i="1"/>
  <c r="D5297" i="1"/>
  <c r="D794" i="1"/>
  <c r="D3728" i="1"/>
  <c r="D7204" i="1"/>
  <c r="D1359" i="1"/>
  <c r="D3679" i="1"/>
  <c r="D4364" i="1"/>
  <c r="D2354" i="1"/>
  <c r="D712" i="1"/>
  <c r="D5531" i="1"/>
  <c r="D6965" i="1"/>
  <c r="D7009" i="1"/>
  <c r="D191" i="1"/>
  <c r="D4945" i="1"/>
  <c r="D2408" i="1"/>
  <c r="D7076" i="1"/>
  <c r="D1418" i="1"/>
  <c r="D5797" i="1"/>
  <c r="D1178" i="1"/>
  <c r="D3051" i="1"/>
  <c r="D3689" i="1"/>
  <c r="D267" i="1"/>
  <c r="D8160" i="1"/>
  <c r="D3230" i="1"/>
  <c r="D7668" i="1"/>
  <c r="D6366" i="1"/>
  <c r="D4229" i="1"/>
  <c r="D1316" i="1"/>
  <c r="D3742" i="1"/>
  <c r="D1143" i="1"/>
  <c r="D4722" i="1"/>
  <c r="D2963" i="1"/>
  <c r="D5110" i="1"/>
  <c r="D6178" i="1"/>
  <c r="D3821" i="1"/>
  <c r="D755" i="1"/>
  <c r="D8089" i="1"/>
  <c r="D7531" i="1"/>
  <c r="D4146" i="1"/>
  <c r="D8718" i="1"/>
  <c r="D4335" i="1"/>
  <c r="D6693" i="1"/>
  <c r="D4596" i="1"/>
  <c r="D4212" i="1"/>
  <c r="D2085" i="1"/>
  <c r="D6026" i="1"/>
  <c r="D403" i="1"/>
  <c r="D3053" i="1"/>
  <c r="D3072" i="1"/>
  <c r="D3700" i="1"/>
  <c r="D31" i="1"/>
  <c r="D7526" i="1"/>
  <c r="D1487" i="1"/>
  <c r="D7963" i="1"/>
  <c r="D3420" i="1"/>
  <c r="D2574" i="1"/>
  <c r="D1253" i="1"/>
  <c r="D7979" i="1"/>
  <c r="D7854" i="1"/>
  <c r="D6222" i="1"/>
  <c r="D5814" i="1"/>
  <c r="D3063" i="1"/>
  <c r="D3776" i="1"/>
  <c r="D4398" i="1"/>
  <c r="D7041" i="1"/>
  <c r="D1294" i="1"/>
  <c r="D3803" i="1"/>
  <c r="D5323" i="1"/>
  <c r="D3605" i="1"/>
  <c r="D6778" i="1"/>
  <c r="D1397" i="1"/>
  <c r="D7727" i="1"/>
  <c r="D948" i="1"/>
  <c r="D7423" i="1"/>
  <c r="D3741" i="1"/>
  <c r="D3015" i="1"/>
  <c r="D4926" i="1"/>
  <c r="D4903" i="1"/>
  <c r="D756" i="1"/>
  <c r="D6581" i="1"/>
  <c r="D2873" i="1"/>
  <c r="D3510" i="1"/>
  <c r="D3570" i="1"/>
  <c r="D1540" i="1"/>
  <c r="D5280" i="1"/>
  <c r="D3734" i="1"/>
  <c r="D3058" i="1"/>
  <c r="D5229" i="1"/>
  <c r="D3768" i="1"/>
  <c r="D6802" i="1"/>
  <c r="D8606" i="1"/>
  <c r="D1651" i="1"/>
  <c r="D4002" i="1"/>
  <c r="D5049" i="1"/>
  <c r="D7958" i="1"/>
  <c r="D624" i="1"/>
  <c r="D5456" i="1"/>
  <c r="D32" i="1"/>
  <c r="D8589" i="1"/>
  <c r="D1923" i="1"/>
  <c r="D3127" i="1"/>
  <c r="D3762" i="1"/>
  <c r="D1927" i="1"/>
  <c r="D4643" i="1"/>
  <c r="D8660" i="1"/>
  <c r="D2787" i="1"/>
  <c r="D2024" i="1"/>
  <c r="D8461" i="1"/>
  <c r="D1959" i="1"/>
  <c r="D252" i="1"/>
  <c r="D5477" i="1"/>
  <c r="D4689" i="1"/>
  <c r="D1008" i="1"/>
  <c r="D3789" i="1"/>
  <c r="D1715" i="1"/>
  <c r="D3598" i="1"/>
  <c r="D734" i="1"/>
  <c r="D5460" i="1"/>
  <c r="D7246" i="1"/>
  <c r="D1049" i="1"/>
  <c r="D8066" i="1"/>
  <c r="D4552" i="1"/>
  <c r="D613" i="1"/>
  <c r="D4779" i="1"/>
  <c r="D3722" i="1"/>
  <c r="D5274" i="1"/>
  <c r="D1237" i="1"/>
  <c r="D7871" i="1"/>
  <c r="D3868" i="1"/>
  <c r="D5070" i="1"/>
  <c r="D4206" i="1"/>
  <c r="D5627" i="1"/>
  <c r="D1759" i="1"/>
  <c r="D1344" i="1"/>
  <c r="D4828" i="1"/>
  <c r="D8141" i="1"/>
  <c r="D33" i="1"/>
  <c r="D5705" i="1"/>
  <c r="D12" i="1"/>
  <c r="D6347" i="1"/>
  <c r="D6844" i="1"/>
  <c r="D1217" i="1"/>
  <c r="D4672" i="1"/>
  <c r="D8420" i="1"/>
  <c r="D6246" i="1"/>
  <c r="D8255" i="1"/>
  <c r="D2756" i="1"/>
  <c r="D7424" i="1"/>
  <c r="D266" i="1"/>
  <c r="D6180" i="1"/>
  <c r="D1208" i="1"/>
  <c r="D8228" i="1"/>
  <c r="D218" i="1"/>
  <c r="D7183" i="1"/>
  <c r="D6329" i="1"/>
  <c r="D853" i="1"/>
  <c r="D2811" i="1"/>
  <c r="D3338" i="1"/>
  <c r="D4399" i="1"/>
  <c r="D271" i="1"/>
  <c r="D969" i="1"/>
  <c r="D5111" i="1"/>
  <c r="D783" i="1"/>
  <c r="D8058" i="1"/>
  <c r="D2138" i="1"/>
  <c r="D3861" i="1"/>
  <c r="D7231" i="1"/>
  <c r="D4038" i="1"/>
  <c r="D1429" i="1"/>
  <c r="D303" i="1"/>
  <c r="D7954" i="1"/>
  <c r="D3613" i="1"/>
  <c r="D3102" i="1"/>
  <c r="D8504" i="1"/>
  <c r="D764" i="1"/>
  <c r="D5099" i="1"/>
  <c r="D8360" i="1"/>
  <c r="D3884" i="1"/>
  <c r="D6679" i="1"/>
  <c r="D4630" i="1"/>
  <c r="D482" i="1"/>
  <c r="D3357" i="1"/>
  <c r="D4214" i="1"/>
  <c r="D4866" i="1"/>
  <c r="D5232" i="1"/>
  <c r="D1111" i="1"/>
  <c r="D1461" i="1"/>
  <c r="D8638" i="1"/>
  <c r="D2692" i="1"/>
  <c r="D795" i="1"/>
  <c r="D1470" i="1"/>
  <c r="D4324" i="1"/>
  <c r="D4849" i="1"/>
  <c r="D4696" i="1"/>
  <c r="D3389" i="1"/>
  <c r="D1512" i="1"/>
  <c r="D6508" i="1"/>
  <c r="D1735" i="1"/>
  <c r="D7047" i="1"/>
  <c r="D1369" i="1"/>
  <c r="D5055" i="1"/>
  <c r="D2833" i="1"/>
  <c r="D8747" i="1"/>
  <c r="D2547" i="1"/>
  <c r="D2543" i="1"/>
  <c r="D2538" i="1"/>
  <c r="D8751" i="1"/>
  <c r="D215" i="1"/>
  <c r="D8498" i="1"/>
  <c r="D6656" i="1"/>
  <c r="D827" i="1"/>
  <c r="D2525" i="1"/>
  <c r="D6918" i="1"/>
  <c r="D4333" i="1"/>
  <c r="D4867" i="1"/>
  <c r="D1375" i="1"/>
  <c r="D6208" i="1"/>
  <c r="D5637" i="1"/>
  <c r="D6326" i="1"/>
  <c r="D1157" i="1"/>
  <c r="D6518" i="1"/>
  <c r="D2979" i="1"/>
  <c r="D2517" i="1"/>
  <c r="D6792" i="1"/>
  <c r="D7319" i="1"/>
  <c r="D5613" i="1"/>
  <c r="D584" i="1"/>
  <c r="D387" i="1"/>
  <c r="D6194" i="1"/>
  <c r="D4633" i="1"/>
  <c r="D6284" i="1"/>
  <c r="D6807" i="1"/>
  <c r="D2982" i="1"/>
  <c r="D1432" i="1"/>
  <c r="D2577" i="1"/>
  <c r="D525" i="1"/>
  <c r="D7213" i="1"/>
  <c r="D1118" i="1"/>
  <c r="D2739" i="1"/>
  <c r="D7202" i="1"/>
  <c r="D3816" i="1"/>
  <c r="D701" i="1"/>
  <c r="D1279" i="1"/>
  <c r="D709" i="1"/>
  <c r="D7127" i="1"/>
  <c r="D2583" i="1"/>
  <c r="D7292" i="1"/>
  <c r="D1633" i="1"/>
  <c r="D1943" i="1"/>
  <c r="D2039" i="1"/>
  <c r="D160" i="1"/>
  <c r="D129" i="1"/>
  <c r="D600" i="1"/>
  <c r="D3592" i="1"/>
  <c r="D3794" i="1"/>
  <c r="D5718" i="1"/>
  <c r="D1355" i="1"/>
  <c r="D3735" i="1"/>
  <c r="D8128" i="1"/>
  <c r="D8372" i="1"/>
  <c r="D8252" i="1"/>
  <c r="D5578" i="1"/>
  <c r="D8077" i="1"/>
  <c r="D7789" i="1"/>
  <c r="D4892" i="1"/>
  <c r="D787" i="1"/>
  <c r="D4377" i="1"/>
  <c r="D7572" i="1"/>
  <c r="D428" i="1"/>
  <c r="D7337" i="1"/>
  <c r="D3698" i="1"/>
  <c r="D8694" i="1"/>
  <c r="D6480" i="1"/>
  <c r="D5037" i="1"/>
  <c r="D7263" i="1"/>
  <c r="D3456" i="1"/>
  <c r="D6648" i="1"/>
  <c r="D3939" i="1"/>
  <c r="D2950" i="1"/>
  <c r="D746" i="1"/>
  <c r="D4452" i="1"/>
  <c r="D6726" i="1"/>
  <c r="D4792" i="1"/>
  <c r="D2635" i="1"/>
  <c r="D8753" i="1"/>
  <c r="D7190" i="1"/>
  <c r="D26" i="1"/>
  <c r="D2475" i="1"/>
  <c r="D6635" i="1"/>
  <c r="D4097" i="1"/>
  <c r="D5569" i="1"/>
  <c r="D4706" i="1"/>
  <c r="D7675" i="1"/>
  <c r="D5876" i="1"/>
  <c r="D2775" i="1"/>
  <c r="D5516" i="1"/>
  <c r="D2930" i="1"/>
  <c r="D3288" i="1"/>
  <c r="D1528" i="1"/>
  <c r="D4445" i="1"/>
  <c r="D4816" i="1"/>
  <c r="D4664" i="1"/>
  <c r="D5325" i="1"/>
  <c r="D4909" i="1"/>
  <c r="D2643" i="1"/>
  <c r="D7524" i="1"/>
  <c r="D6214" i="1"/>
  <c r="D6814" i="1"/>
  <c r="D1104" i="1"/>
  <c r="D2410" i="1"/>
  <c r="D4614" i="1"/>
  <c r="D7258" i="1"/>
  <c r="D7214" i="1"/>
  <c r="D5482" i="1"/>
  <c r="D6432" i="1"/>
  <c r="D1267" i="1"/>
  <c r="D965" i="1"/>
  <c r="D5770" i="1"/>
  <c r="D850" i="1"/>
  <c r="D1761" i="1"/>
  <c r="D4262" i="1"/>
  <c r="D5708" i="1"/>
  <c r="D4013" i="1"/>
  <c r="D1804" i="1"/>
  <c r="D2136" i="1"/>
  <c r="D5593" i="1"/>
  <c r="D805" i="1"/>
  <c r="D4" i="1"/>
  <c r="D2125" i="1"/>
  <c r="D6239" i="1"/>
  <c r="D6885" i="1"/>
  <c r="D4950" i="1"/>
  <c r="D6291" i="1"/>
  <c r="D7840" i="1"/>
  <c r="D2379" i="1"/>
  <c r="D6655" i="1"/>
  <c r="D8595" i="1"/>
  <c r="D7831" i="1"/>
  <c r="D7433" i="1"/>
  <c r="D3042" i="1"/>
  <c r="D3354" i="1"/>
  <c r="D7387" i="1"/>
  <c r="D5502" i="1"/>
  <c r="D1408" i="1"/>
  <c r="D7139" i="1"/>
  <c r="D7140" i="1"/>
  <c r="D830" i="1"/>
  <c r="D5780" i="1"/>
  <c r="D8763" i="1"/>
  <c r="D7681" i="1"/>
  <c r="D6787" i="1"/>
  <c r="D1274" i="1"/>
  <c r="D880" i="1"/>
  <c r="D7150" i="1"/>
  <c r="D5610" i="1"/>
  <c r="D6980" i="1"/>
  <c r="D2235" i="1"/>
  <c r="D7719" i="1"/>
  <c r="D7597" i="1"/>
  <c r="D4752" i="1"/>
  <c r="D927" i="1"/>
  <c r="D1535" i="1"/>
  <c r="D2391" i="1"/>
  <c r="D5850" i="1"/>
  <c r="D674" i="1"/>
  <c r="D8521" i="1"/>
  <c r="D2970" i="1"/>
  <c r="D1273" i="1"/>
  <c r="D2601" i="1"/>
  <c r="D173" i="1"/>
  <c r="D5862" i="1"/>
  <c r="D8691" i="1"/>
  <c r="D8760" i="1"/>
  <c r="D3023" i="1"/>
  <c r="D8673" i="1"/>
  <c r="D1714" i="1"/>
  <c r="D1845" i="1"/>
  <c r="D4740" i="1"/>
  <c r="D7361" i="1"/>
  <c r="D3933" i="1"/>
  <c r="D4127" i="1"/>
  <c r="D4562" i="1"/>
  <c r="D2280" i="1"/>
  <c r="D3746" i="1"/>
  <c r="D4433" i="1"/>
  <c r="D5359" i="1"/>
  <c r="D3014" i="1"/>
  <c r="D7321" i="1"/>
  <c r="D2589" i="1"/>
  <c r="D967" i="1"/>
  <c r="D7385" i="1"/>
  <c r="D5202" i="1"/>
  <c r="D8249" i="1"/>
  <c r="D277" i="1"/>
  <c r="D2825" i="1"/>
  <c r="D5410" i="1"/>
  <c r="D7747" i="1"/>
  <c r="D8501" i="1"/>
  <c r="D7404" i="1"/>
  <c r="D3702" i="1"/>
  <c r="D4194" i="1"/>
  <c r="D763" i="1"/>
  <c r="D4808" i="1"/>
  <c r="D2443" i="1"/>
  <c r="D5373" i="1"/>
  <c r="D6765" i="1"/>
  <c r="D7837" i="1"/>
  <c r="D5087" i="1"/>
  <c r="D3410" i="1"/>
  <c r="D7384" i="1"/>
  <c r="D8119" i="1"/>
  <c r="D3571" i="1"/>
  <c r="D6053" i="1"/>
  <c r="D6368" i="1"/>
  <c r="D6305" i="1"/>
  <c r="D8154" i="1"/>
  <c r="D2928" i="1"/>
  <c r="D7573" i="1"/>
  <c r="D8544" i="1"/>
  <c r="D7574" i="1"/>
  <c r="D2409" i="1"/>
  <c r="D2817" i="1"/>
  <c r="D7290" i="1"/>
  <c r="D4332" i="1"/>
  <c r="D418" i="1"/>
  <c r="D4967" i="1"/>
  <c r="D5742" i="1"/>
  <c r="D983" i="1"/>
  <c r="D631" i="1"/>
  <c r="D3909" i="1"/>
  <c r="D5167" i="1"/>
  <c r="D6513" i="1"/>
  <c r="D6004" i="1"/>
  <c r="D4781" i="1"/>
  <c r="D7112" i="1"/>
  <c r="D5676" i="1"/>
  <c r="D3759" i="1"/>
  <c r="D6975" i="1"/>
  <c r="D3847" i="1"/>
  <c r="D1465" i="1"/>
  <c r="D6238" i="1"/>
  <c r="D6766" i="1"/>
  <c r="D1116" i="1"/>
  <c r="D966" i="1"/>
  <c r="D3985" i="1"/>
  <c r="D1554" i="1"/>
  <c r="D3192" i="1"/>
  <c r="D3858" i="1"/>
  <c r="D6610" i="1"/>
  <c r="D2691" i="1"/>
  <c r="D1142" i="1"/>
  <c r="D7239" i="1"/>
  <c r="D3096" i="1"/>
  <c r="D1922" i="1"/>
  <c r="D863" i="1"/>
  <c r="D7569" i="1"/>
  <c r="D6425" i="1"/>
  <c r="D4253" i="1"/>
  <c r="D6558" i="1"/>
  <c r="D7416" i="1"/>
  <c r="D1502" i="1"/>
  <c r="D6027" i="1"/>
  <c r="D7637" i="1"/>
  <c r="D568" i="1"/>
  <c r="D8600" i="1"/>
  <c r="D2281" i="1"/>
  <c r="D1402" i="1"/>
  <c r="D2187" i="1"/>
  <c r="D8593" i="1"/>
  <c r="D4571" i="1"/>
  <c r="D3272" i="1"/>
  <c r="D5485" i="1"/>
  <c r="D1699" i="1"/>
  <c r="D7768" i="1"/>
  <c r="D4829" i="1"/>
  <c r="D2335" i="1"/>
  <c r="D3215" i="1"/>
  <c r="D6323" i="1"/>
  <c r="D5082" i="1"/>
  <c r="D2510" i="1"/>
  <c r="D2667" i="1"/>
  <c r="D1537" i="1"/>
  <c r="D3430" i="1"/>
  <c r="D1536" i="1"/>
  <c r="D1269" i="1"/>
  <c r="D3229" i="1"/>
  <c r="D7050" i="1"/>
  <c r="D7761" i="1"/>
  <c r="D1166" i="1"/>
  <c r="D295" i="1"/>
  <c r="D610" i="1"/>
  <c r="D7315" i="1"/>
  <c r="D4589" i="1"/>
  <c r="D627" i="1"/>
  <c r="D2944" i="1"/>
  <c r="D4894" i="1"/>
  <c r="D970" i="1"/>
  <c r="D6474" i="1"/>
  <c r="D1772" i="1"/>
  <c r="D2287" i="1"/>
  <c r="D521" i="1"/>
  <c r="D8619" i="1"/>
  <c r="D7575" i="1"/>
  <c r="D7723" i="1"/>
  <c r="D1174" i="1"/>
  <c r="D6310" i="1"/>
  <c r="D7221" i="1"/>
  <c r="D3887" i="1"/>
  <c r="D2508" i="1"/>
  <c r="D5538" i="1"/>
  <c r="D7647" i="1"/>
  <c r="D3674" i="1"/>
  <c r="D4700" i="1"/>
  <c r="D7983" i="1"/>
  <c r="D3455" i="1"/>
  <c r="D5320" i="1"/>
  <c r="D7110" i="1"/>
  <c r="D3417" i="1"/>
  <c r="D1641" i="1"/>
  <c r="D318" i="1"/>
  <c r="D2174" i="1"/>
  <c r="D4340" i="1"/>
  <c r="D4382" i="1"/>
  <c r="D971" i="1"/>
  <c r="D8054" i="1"/>
  <c r="D4887" i="1"/>
  <c r="D4638" i="1"/>
  <c r="D3733" i="1"/>
  <c r="D3088" i="1"/>
  <c r="D6383" i="1"/>
  <c r="D395" i="1"/>
  <c r="D3725" i="1"/>
  <c r="D3560" i="1"/>
  <c r="D7211" i="1"/>
  <c r="D6686" i="1"/>
  <c r="D6240" i="1"/>
  <c r="D4066" i="1"/>
  <c r="D5211" i="1"/>
  <c r="D1931" i="1"/>
  <c r="D3169" i="1"/>
  <c r="D3176" i="1"/>
  <c r="D2917" i="1"/>
  <c r="D268" i="1"/>
  <c r="D1346" i="1"/>
  <c r="D3077" i="1"/>
  <c r="D3537" i="1"/>
  <c r="D6522" i="1"/>
  <c r="D4071" i="1"/>
  <c r="D7806" i="1"/>
  <c r="D8550" i="1"/>
  <c r="D6947" i="1"/>
  <c r="D1731" i="1"/>
  <c r="D4681" i="1"/>
  <c r="D8005" i="1"/>
  <c r="D2669" i="1"/>
  <c r="D7116" i="1"/>
  <c r="D3195" i="1"/>
  <c r="D825" i="1"/>
  <c r="D7577" i="1"/>
  <c r="D3536" i="1"/>
  <c r="D7593" i="1"/>
  <c r="D7576" i="1"/>
  <c r="D102" i="1"/>
  <c r="D4663" i="1"/>
  <c r="D7356" i="1"/>
  <c r="D4407" i="1"/>
  <c r="D1349" i="1"/>
  <c r="D1411" i="1"/>
  <c r="D7721" i="1"/>
  <c r="D7811" i="1"/>
  <c r="D4717" i="1"/>
  <c r="D7247" i="1"/>
  <c r="D4062" i="1"/>
  <c r="D1458" i="1"/>
  <c r="D84" i="1"/>
  <c r="D7697" i="1"/>
  <c r="D3071" i="1"/>
  <c r="D4059" i="1"/>
  <c r="D269" i="1"/>
  <c r="D3738" i="1"/>
  <c r="D6193" i="1"/>
  <c r="D7439" i="1"/>
  <c r="D253" i="1"/>
  <c r="D999" i="1"/>
  <c r="D1950" i="1"/>
  <c r="D5918" i="1"/>
  <c r="D6751" i="1"/>
  <c r="D4367" i="1"/>
  <c r="D440" i="1"/>
  <c r="D7734" i="1"/>
  <c r="D1115" i="1"/>
  <c r="D393" i="1"/>
  <c r="D716" i="1"/>
  <c r="D1885" i="1"/>
  <c r="D2327" i="1"/>
  <c r="D6449" i="1"/>
  <c r="D8010" i="1"/>
  <c r="D7883" i="1"/>
  <c r="D5829" i="1"/>
  <c r="D6831" i="1"/>
  <c r="D1727" i="1"/>
  <c r="D1490" i="1"/>
  <c r="D912" i="1"/>
  <c r="D3506" i="1"/>
  <c r="D4026" i="1"/>
  <c r="D2496" i="1"/>
  <c r="D132" i="1"/>
  <c r="D8375" i="1"/>
  <c r="D7578" i="1"/>
  <c r="D1589" i="1"/>
  <c r="D2203" i="1"/>
  <c r="D8601" i="1"/>
  <c r="D5784" i="1"/>
  <c r="D1023" i="1"/>
  <c r="D4524" i="1"/>
  <c r="D4803" i="1"/>
  <c r="D4323" i="1"/>
  <c r="D3311" i="1"/>
  <c r="D6393" i="1"/>
  <c r="D4455" i="1"/>
  <c r="D1541" i="1"/>
  <c r="D6579" i="1"/>
  <c r="D2289" i="1"/>
  <c r="D8235" i="1"/>
  <c r="D1160" i="1"/>
  <c r="D3775" i="1"/>
  <c r="D7522" i="1"/>
  <c r="D3232" i="1"/>
  <c r="D7875" i="1"/>
  <c r="D3723" i="1"/>
  <c r="D1728" i="1"/>
  <c r="D4547" i="1"/>
  <c r="D5210" i="1"/>
  <c r="D3769" i="1"/>
  <c r="D6319" i="1"/>
  <c r="D3137" i="1"/>
  <c r="D597" i="1"/>
  <c r="D7673" i="1"/>
  <c r="D8073" i="1"/>
  <c r="D7241" i="1"/>
  <c r="D8156" i="1"/>
  <c r="D2439" i="1"/>
  <c r="D7635" i="1"/>
  <c r="D3317" i="1"/>
  <c r="D1498" i="1"/>
  <c r="D7375" i="1"/>
  <c r="D6790" i="1"/>
  <c r="D769" i="1"/>
  <c r="D8259" i="1"/>
  <c r="D7236" i="1"/>
  <c r="D1299" i="1"/>
  <c r="D6990" i="1"/>
  <c r="D7847" i="1"/>
  <c r="D949" i="1"/>
  <c r="D447" i="1"/>
  <c r="D4776" i="1"/>
  <c r="D3388" i="1"/>
  <c r="D3972" i="1"/>
  <c r="D2505" i="1"/>
  <c r="D8379" i="1"/>
  <c r="D3869" i="1"/>
  <c r="D3167" i="1"/>
  <c r="D8630" i="1"/>
  <c r="D8563" i="1"/>
  <c r="D6473" i="1"/>
  <c r="D512" i="1"/>
  <c r="D3814" i="1"/>
  <c r="D7081" i="1"/>
  <c r="D7165" i="1"/>
  <c r="D6752" i="1"/>
  <c r="D4798" i="1"/>
  <c r="D2389" i="1"/>
  <c r="D6369" i="1"/>
  <c r="D2695" i="1"/>
  <c r="D5594" i="1"/>
  <c r="D5267" i="1"/>
  <c r="D3951" i="1"/>
  <c r="D469" i="1"/>
  <c r="D5371" i="1"/>
  <c r="D7980" i="1"/>
  <c r="D7157" i="1"/>
  <c r="D5823" i="1"/>
  <c r="D3030" i="1"/>
  <c r="D2363" i="1"/>
  <c r="D2597" i="1"/>
  <c r="D640" i="1"/>
  <c r="D1410" i="1"/>
  <c r="D7094" i="1"/>
  <c r="D3575" i="1"/>
  <c r="D3895" i="1"/>
  <c r="D5380" i="1"/>
  <c r="D5145" i="1"/>
  <c r="D7320" i="1"/>
  <c r="D496" i="1"/>
  <c r="D2639" i="1"/>
  <c r="D394" i="1"/>
  <c r="D5761" i="1"/>
  <c r="D448" i="1"/>
  <c r="D4293" i="1"/>
  <c r="D7564" i="1"/>
  <c r="D3057" i="1"/>
  <c r="D7158" i="1"/>
  <c r="D6049" i="1"/>
  <c r="D1245" i="1"/>
  <c r="D7394" i="1"/>
  <c r="D3807" i="1"/>
  <c r="D135" i="1"/>
  <c r="D2473" i="1"/>
  <c r="D7485" i="1"/>
  <c r="D759" i="1"/>
  <c r="D8254" i="1"/>
  <c r="D1040" i="1"/>
  <c r="D4642" i="1"/>
  <c r="D2383" i="1"/>
  <c r="D5799" i="1"/>
  <c r="D236" i="1"/>
  <c r="D713" i="1"/>
  <c r="D5782" i="1"/>
  <c r="D7349" i="1"/>
  <c r="D1716" i="1"/>
  <c r="D7682" i="1"/>
  <c r="D6858" i="1"/>
  <c r="D4029" i="1"/>
  <c r="D7466" i="1"/>
  <c r="D7732" i="1"/>
  <c r="D3764" i="1"/>
  <c r="D4686" i="1"/>
  <c r="D2585" i="1"/>
  <c r="D3463" i="1"/>
  <c r="D8290" i="1"/>
  <c r="D7114" i="1"/>
  <c r="D3826" i="1"/>
  <c r="D5672" i="1"/>
  <c r="D7002" i="1"/>
  <c r="D648" i="1"/>
  <c r="D3646" i="1"/>
  <c r="D7544" i="1"/>
  <c r="D7153" i="1"/>
  <c r="D7380" i="1"/>
  <c r="D847" i="1"/>
  <c r="D4423" i="1"/>
  <c r="D3205" i="1"/>
  <c r="D5669" i="1"/>
  <c r="D1391" i="1"/>
  <c r="D8056" i="1"/>
  <c r="D7692" i="1"/>
  <c r="D2633" i="1"/>
  <c r="D4458" i="1"/>
  <c r="D6650" i="1"/>
  <c r="D4824" i="1"/>
  <c r="D1423" i="1"/>
  <c r="D2880" i="1"/>
  <c r="D991" i="1"/>
  <c r="D891" i="1"/>
  <c r="D1642" i="1"/>
  <c r="D3260" i="1"/>
  <c r="D225" i="1"/>
  <c r="D4485" i="1"/>
  <c r="D864" i="1"/>
  <c r="D1786" i="1"/>
  <c r="D2684" i="1"/>
  <c r="D6922" i="1"/>
  <c r="D2761" i="1"/>
  <c r="D1802" i="1"/>
  <c r="D3685" i="1"/>
  <c r="D1097" i="1"/>
  <c r="D1211" i="1"/>
  <c r="D4653" i="1"/>
  <c r="D2527" i="1"/>
  <c r="D6728" i="1"/>
  <c r="D650" i="1"/>
  <c r="D255" i="1"/>
  <c r="D1368" i="1"/>
  <c r="D7379" i="1"/>
  <c r="D2836" i="1"/>
  <c r="D1181" i="1"/>
  <c r="D875" i="1"/>
  <c r="D2649" i="1"/>
  <c r="D1732" i="1"/>
  <c r="D3070" i="1"/>
  <c r="D5074" i="1"/>
  <c r="D5119" i="1"/>
  <c r="D5367" i="1"/>
  <c r="D3779" i="1"/>
  <c r="D5230" i="1"/>
  <c r="D4395" i="1"/>
  <c r="D30" i="1"/>
  <c r="D3281" i="1"/>
  <c r="D2772" i="1"/>
  <c r="D7849" i="1"/>
  <c r="D6419" i="1"/>
  <c r="D4055" i="1"/>
  <c r="D3899" i="1"/>
  <c r="D945" i="1"/>
  <c r="D2656" i="1"/>
  <c r="D4371" i="1"/>
  <c r="D7115" i="1"/>
  <c r="D2934" i="1"/>
  <c r="D3992" i="1"/>
  <c r="D7715" i="1"/>
  <c r="D8384" i="1"/>
  <c r="D2444" i="1"/>
  <c r="D8381" i="1"/>
  <c r="D7450" i="1"/>
  <c r="D5163" i="1"/>
  <c r="D6281" i="1"/>
  <c r="D2513" i="1"/>
  <c r="D281" i="1"/>
  <c r="D7261" i="1"/>
  <c r="D133" i="1"/>
  <c r="D7945" i="1"/>
  <c r="D5416" i="1"/>
  <c r="D5816" i="1"/>
  <c r="D7880" i="1"/>
  <c r="D6688" i="1"/>
  <c r="D708" i="1"/>
  <c r="D1867" i="1"/>
  <c r="D5919" i="1"/>
  <c r="D1058" i="1"/>
  <c r="D5856" i="1"/>
  <c r="D3539" i="1"/>
  <c r="D5497" i="1"/>
  <c r="D6591" i="1"/>
  <c r="D1434" i="1"/>
  <c r="D651" i="1"/>
  <c r="D2570" i="1"/>
  <c r="D8067" i="1"/>
  <c r="D7104" i="1"/>
  <c r="D5753" i="1"/>
  <c r="D7543" i="1"/>
  <c r="D7128" i="1"/>
  <c r="D2798" i="1"/>
  <c r="D4462" i="1"/>
  <c r="D243" i="1"/>
  <c r="D1860" i="1"/>
  <c r="D7841" i="1"/>
  <c r="D7589" i="1"/>
  <c r="D5792" i="1"/>
  <c r="D4182" i="1"/>
  <c r="D5484" i="1"/>
  <c r="D1180" i="1"/>
  <c r="D5986" i="1"/>
  <c r="D276" i="1"/>
  <c r="D3595" i="1"/>
  <c r="D968" i="1"/>
  <c r="D1657" i="1"/>
  <c r="D2013" i="1"/>
  <c r="D2860" i="1"/>
  <c r="D6624" i="1"/>
  <c r="D6605" i="1"/>
  <c r="D7848" i="1"/>
  <c r="D8720" i="1"/>
  <c r="D6213" i="1"/>
  <c r="D5370" i="1"/>
  <c r="D304" i="1"/>
  <c r="D4716" i="1"/>
  <c r="D6950" i="1"/>
  <c r="D5376" i="1"/>
  <c r="D1215" i="1"/>
  <c r="D5575" i="1"/>
  <c r="D4662" i="1"/>
  <c r="D5483" i="1"/>
  <c r="D3284" i="1"/>
  <c r="D7413" i="1"/>
  <c r="D5282" i="1"/>
  <c r="D3732" i="1"/>
  <c r="D1125" i="1"/>
  <c r="D305" i="1"/>
  <c r="D3871" i="1"/>
  <c r="D7822" i="1"/>
  <c r="D7420" i="1"/>
  <c r="D1749" i="1"/>
  <c r="D7995" i="1"/>
  <c r="D2909" i="1"/>
  <c r="D5731" i="1"/>
  <c r="D8389" i="1"/>
  <c r="D7297" i="1"/>
  <c r="D5170" i="1"/>
  <c r="D3719" i="1"/>
  <c r="D1883" i="1"/>
  <c r="D424" i="1"/>
  <c r="D994" i="1"/>
  <c r="D6195" i="1"/>
  <c r="D6740" i="1"/>
  <c r="D7914" i="1"/>
  <c r="D3579" i="1"/>
  <c r="D5633" i="1"/>
  <c r="D5794" i="1"/>
  <c r="D1163" i="1"/>
  <c r="D1324" i="1"/>
  <c r="D4151" i="1"/>
  <c r="D7797" i="1"/>
  <c r="D7798" i="1"/>
  <c r="D5031" i="1"/>
  <c r="D2290" i="1"/>
  <c r="D5598" i="1"/>
  <c r="D6553" i="1"/>
  <c r="D3010" i="1"/>
  <c r="D7547" i="1"/>
  <c r="D7218" i="1"/>
  <c r="D3817" i="1"/>
  <c r="D5692" i="1"/>
  <c r="D1120" i="1"/>
  <c r="D2990" i="1"/>
  <c r="D2801" i="1"/>
  <c r="D2400" i="1"/>
  <c r="D4725" i="1"/>
  <c r="D2382" i="1"/>
  <c r="D2581" i="1"/>
  <c r="D1539" i="1"/>
  <c r="D7216" i="1"/>
  <c r="D4418" i="1"/>
  <c r="D8230" i="1"/>
  <c r="D529" i="1"/>
  <c r="D3223" i="1"/>
  <c r="D5085" i="1"/>
  <c r="D5086" i="1"/>
  <c r="D326" i="1"/>
  <c r="D3809" i="1"/>
  <c r="D7930" i="1"/>
  <c r="D7915" i="1"/>
  <c r="D3710" i="1"/>
  <c r="D5821" i="1"/>
  <c r="D4465" i="1"/>
  <c r="D517" i="1"/>
  <c r="D7591" i="1"/>
  <c r="D321" i="1"/>
  <c r="D283" i="1"/>
  <c r="D4033" i="1"/>
  <c r="D1753" i="1"/>
  <c r="D5142" i="1"/>
  <c r="D3297" i="1"/>
  <c r="D3413" i="1"/>
  <c r="D7851" i="1"/>
  <c r="D3812" i="1"/>
  <c r="D2463" i="1"/>
  <c r="D4748" i="1"/>
  <c r="D7237" i="1"/>
  <c r="D1426" i="1"/>
  <c r="D6524" i="1"/>
  <c r="D6731" i="1"/>
  <c r="D1265" i="1"/>
  <c r="D6289" i="1"/>
  <c r="D1866" i="1"/>
  <c r="D1416" i="1"/>
  <c r="D8289" i="1"/>
  <c r="D131" i="1"/>
  <c r="D204" i="1"/>
  <c r="D3574" i="1"/>
  <c r="D256" i="1"/>
  <c r="D3601" i="1"/>
  <c r="D2355" i="1"/>
  <c r="D1871" i="1"/>
  <c r="D2572" i="1"/>
  <c r="D5109" i="1"/>
  <c r="D1482" i="1"/>
  <c r="D4593" i="1"/>
  <c r="D7105" i="1"/>
  <c r="D518" i="1"/>
  <c r="D1067" i="1"/>
  <c r="D4581" i="1"/>
  <c r="D6567" i="1"/>
  <c r="D5010" i="1"/>
  <c r="D6445" i="1"/>
  <c r="D8391" i="1"/>
  <c r="D6464" i="1"/>
  <c r="D6215" i="1"/>
  <c r="D1308" i="1"/>
  <c r="D2031" i="1"/>
  <c r="D3318" i="1"/>
  <c r="D2458" i="1"/>
  <c r="D7755" i="1"/>
  <c r="D338" i="1"/>
  <c r="D3663" i="1"/>
  <c r="D6667" i="1"/>
  <c r="D3180" i="1"/>
  <c r="D1457" i="1"/>
  <c r="D1951" i="1"/>
  <c r="D8363" i="1"/>
  <c r="D1360" i="1"/>
  <c r="D4782" i="1"/>
  <c r="D7453" i="1"/>
  <c r="D3092" i="1"/>
  <c r="D8732" i="1"/>
  <c r="D7414" i="1"/>
  <c r="D761" i="1"/>
  <c r="D4436" i="1"/>
  <c r="D4991" i="1"/>
  <c r="D7745" i="1"/>
  <c r="D4611" i="1"/>
  <c r="D5424" i="1"/>
  <c r="D7106" i="1"/>
  <c r="D4675" i="1"/>
  <c r="D126" i="1"/>
  <c r="D155" i="1"/>
  <c r="D5144" i="1"/>
  <c r="D3367" i="1"/>
  <c r="D2338" i="1"/>
  <c r="D6219" i="1"/>
  <c r="D2746" i="1"/>
  <c r="D2744" i="1"/>
  <c r="D4129" i="1"/>
  <c r="D6797" i="1"/>
  <c r="D6798" i="1"/>
  <c r="D6632" i="1"/>
  <c r="D2482" i="1"/>
  <c r="D3844" i="1"/>
  <c r="D865" i="1"/>
  <c r="D5714" i="1"/>
  <c r="D3701" i="1"/>
  <c r="D3363" i="1"/>
  <c r="D7596" i="1"/>
  <c r="D8479" i="1"/>
  <c r="D3038" i="1"/>
  <c r="D7670" i="1"/>
  <c r="D5618" i="1"/>
  <c r="D3095" i="1"/>
  <c r="D3362" i="1"/>
  <c r="D4839" i="1"/>
  <c r="D7412" i="1"/>
  <c r="D2630" i="1"/>
  <c r="D1222" i="1"/>
  <c r="D6649" i="1"/>
  <c r="D4016" i="1"/>
  <c r="D5597" i="1"/>
  <c r="D4795" i="1"/>
  <c r="D1266" i="1"/>
  <c r="D4814" i="1"/>
  <c r="D7289" i="1"/>
  <c r="D6748" i="1"/>
  <c r="D7184" i="1"/>
  <c r="D3656" i="1"/>
  <c r="D3787" i="1"/>
  <c r="D1417" i="1"/>
  <c r="D7199" i="1"/>
  <c r="D6964" i="1"/>
  <c r="D2014" i="1"/>
  <c r="D5700" i="1"/>
  <c r="D2868" i="1"/>
  <c r="D2840" i="1"/>
  <c r="D1995" i="1"/>
  <c r="D5701" i="1"/>
  <c r="D5787" i="1"/>
  <c r="D1545" i="1"/>
  <c r="D336" i="1"/>
  <c r="D3079" i="1"/>
  <c r="D4832" i="1"/>
  <c r="D7892" i="1"/>
  <c r="D6452" i="1"/>
  <c r="D8648" i="1"/>
  <c r="D3541" i="1"/>
  <c r="D2422" i="1"/>
  <c r="D3573" i="1"/>
  <c r="D6365" i="1"/>
  <c r="D6486" i="1"/>
  <c r="D7446" i="1"/>
  <c r="D5541" i="1"/>
  <c r="D5317" i="1"/>
  <c r="D1093" i="1"/>
  <c r="D2921" i="1"/>
  <c r="D1472" i="1"/>
  <c r="D1232" i="1"/>
  <c r="D8456" i="1"/>
  <c r="D1170" i="1"/>
  <c r="D7672" i="1"/>
  <c r="D1066" i="1"/>
  <c r="D7625" i="1"/>
  <c r="D7428" i="1"/>
  <c r="D2494" i="1"/>
  <c r="D7256" i="1"/>
  <c r="D3620" i="1"/>
  <c r="D7469" i="1"/>
  <c r="D4546" i="1"/>
  <c r="D3179" i="1"/>
  <c r="D5868" i="1"/>
  <c r="D331" i="1"/>
  <c r="D438" i="1"/>
  <c r="D8378" i="1"/>
  <c r="D1936" i="1"/>
  <c r="D168" i="1"/>
  <c r="D8551" i="1"/>
  <c r="D4925" i="1"/>
  <c r="D4963" i="1"/>
  <c r="D1948" i="1"/>
  <c r="D7889" i="1"/>
  <c r="D6729" i="1"/>
  <c r="D1920" i="1"/>
  <c r="D4414" i="1"/>
  <c r="D6287" i="1"/>
  <c r="D3846" i="1"/>
  <c r="D7304" i="1"/>
  <c r="D6557" i="1"/>
  <c r="D5335" i="1"/>
  <c r="D7505" i="1"/>
  <c r="D7788" i="1"/>
  <c r="D7674" i="1"/>
  <c r="D5544" i="1"/>
  <c r="D1278" i="1"/>
  <c r="D4755" i="1"/>
  <c r="D6481" i="1"/>
  <c r="D776" i="1"/>
  <c r="D6910" i="1"/>
  <c r="D3551" i="1"/>
  <c r="D3916" i="1"/>
  <c r="D3616" i="1"/>
  <c r="D957" i="1"/>
  <c r="D4865" i="1"/>
  <c r="D2865" i="1"/>
  <c r="D7277" i="1"/>
  <c r="D4035" i="1"/>
  <c r="D1389" i="1"/>
  <c r="D1147" i="1"/>
  <c r="D6244" i="1"/>
  <c r="D6501" i="1"/>
  <c r="D6583" i="1"/>
  <c r="D6627" i="1"/>
  <c r="D7507" i="1"/>
  <c r="D5527" i="1"/>
  <c r="D1313" i="1"/>
  <c r="D2828" i="1"/>
  <c r="D7558" i="1"/>
  <c r="D3891" i="1"/>
  <c r="D2472" i="1"/>
  <c r="D3604" i="1"/>
  <c r="D7771" i="1"/>
  <c r="D7392" i="1"/>
  <c r="D7390" i="1"/>
  <c r="D333" i="1"/>
  <c r="D5341" i="1"/>
  <c r="D3945" i="1"/>
  <c r="D2953" i="1"/>
  <c r="D2786" i="1"/>
  <c r="D5830" i="1"/>
  <c r="D7373" i="1"/>
  <c r="D7592" i="1"/>
  <c r="D4558" i="1"/>
  <c r="D6506" i="1"/>
  <c r="D1076" i="1"/>
  <c r="D6322" i="1"/>
  <c r="D4063" i="1"/>
  <c r="D2317" i="1"/>
  <c r="D6945" i="1"/>
  <c r="D881" i="1"/>
  <c r="D6205" i="1"/>
  <c r="D7553" i="1"/>
  <c r="D2927" i="1"/>
  <c r="D608" i="1"/>
  <c r="D8292" i="1"/>
  <c r="D6547" i="1"/>
  <c r="D4482" i="1"/>
  <c r="D5337" i="1"/>
  <c r="D1028" i="1"/>
  <c r="D3368" i="1"/>
  <c r="D3782" i="1"/>
  <c r="D5810" i="1"/>
  <c r="D1377" i="1"/>
  <c r="D1214" i="1"/>
  <c r="D4042" i="1"/>
  <c r="D7415" i="1"/>
  <c r="D732" i="1"/>
  <c r="D641" i="1"/>
  <c r="D5105" i="1"/>
  <c r="D1331" i="1"/>
  <c r="D2435" i="1"/>
  <c r="D3243" i="1"/>
  <c r="D4709" i="1"/>
  <c r="D742" i="1"/>
  <c r="D312" i="1"/>
  <c r="D4003" i="1"/>
  <c r="D6689" i="1"/>
  <c r="D3750" i="1"/>
  <c r="D1127" i="1"/>
  <c r="D3211" i="1"/>
  <c r="D1748" i="1"/>
  <c r="D6385" i="1"/>
  <c r="D1663" i="1"/>
  <c r="D6733" i="1"/>
  <c r="D877" i="1"/>
  <c r="D876" i="1"/>
  <c r="D2785" i="1"/>
  <c r="D4007" i="1"/>
  <c r="D6290" i="1"/>
  <c r="D7444" i="1"/>
  <c r="D4978" i="1"/>
  <c r="D5063" i="1"/>
  <c r="D5101" i="1"/>
  <c r="D4979" i="1"/>
  <c r="D1192" i="1"/>
  <c r="D7169" i="1"/>
  <c r="D3709" i="1"/>
  <c r="D647" i="1"/>
  <c r="D5208" i="1"/>
  <c r="D921" i="1"/>
  <c r="D920" i="1"/>
  <c r="D3295" i="1"/>
  <c r="D3296" i="1"/>
  <c r="D924" i="1"/>
  <c r="D3110" i="1"/>
  <c r="D5885" i="1"/>
  <c r="D922" i="1"/>
  <c r="D5264" i="1"/>
  <c r="D3913" i="1"/>
  <c r="D349" i="1"/>
  <c r="D923" i="1"/>
  <c r="D918" i="1"/>
  <c r="D919" i="1"/>
  <c r="D917" i="1"/>
  <c r="D916" i="1"/>
  <c r="D941" i="1"/>
  <c r="D5665" i="1"/>
  <c r="D89" i="1"/>
  <c r="D5666" i="1"/>
  <c r="D3603" i="1"/>
  <c r="D7176" i="1"/>
  <c r="D7014" i="1"/>
  <c r="D7302" i="1"/>
  <c r="D6850" i="1"/>
  <c r="D7775" i="1"/>
  <c r="D1662" i="1"/>
  <c r="D1195" i="1"/>
  <c r="D5013" i="1"/>
  <c r="D1246" i="1"/>
  <c r="D1508" i="1"/>
  <c r="D3802" i="1"/>
  <c r="D5726" i="1"/>
  <c r="D1374" i="1"/>
  <c r="D661" i="1"/>
  <c r="D539" i="1"/>
  <c r="D4403" i="1"/>
  <c r="D113" i="1"/>
  <c r="D6822" i="1"/>
  <c r="D6934" i="1"/>
  <c r="D533" i="1"/>
  <c r="D2312" i="1"/>
  <c r="D5668" i="1"/>
  <c r="D7155" i="1"/>
  <c r="D4424" i="1"/>
  <c r="D7650" i="1"/>
  <c r="D3903" i="1"/>
  <c r="D6853" i="1"/>
  <c r="D8047" i="1"/>
  <c r="D2829" i="1"/>
  <c r="D4980" i="1"/>
  <c r="D3489" i="1"/>
  <c r="D7103" i="1"/>
  <c r="D2265" i="1"/>
  <c r="D7959" i="1"/>
  <c r="D8599" i="1"/>
  <c r="D530" i="1"/>
  <c r="D1264" i="1"/>
  <c r="D27" i="1"/>
  <c r="D6859" i="1"/>
  <c r="D8477" i="1"/>
  <c r="D4753" i="1"/>
  <c r="D5860" i="1"/>
  <c r="D7367" i="1"/>
  <c r="D8176" i="1"/>
  <c r="D8676" i="1"/>
  <c r="D7764" i="1"/>
  <c r="D4228" i="1"/>
  <c r="D5319" i="1"/>
  <c r="D4899" i="1"/>
  <c r="D2424" i="1"/>
  <c r="D5839" i="1"/>
  <c r="D7284" i="1"/>
  <c r="D3813" i="1"/>
  <c r="D5600" i="1"/>
  <c r="D6186" i="1"/>
  <c r="D516" i="1"/>
  <c r="D5172" i="1"/>
  <c r="D7541" i="1"/>
  <c r="D7651" i="1"/>
  <c r="D7278" i="1"/>
  <c r="D635" i="1"/>
  <c r="D4211" i="1"/>
  <c r="D7951" i="1"/>
  <c r="D2714" i="1"/>
  <c r="D7266" i="1"/>
  <c r="D2827" i="1"/>
  <c r="D3271" i="1"/>
  <c r="D7833" i="1"/>
  <c r="D2752" i="1"/>
  <c r="D5361" i="1"/>
  <c r="D2487" i="1"/>
  <c r="D4895" i="1"/>
  <c r="D4092" i="1"/>
  <c r="D3926" i="1"/>
  <c r="D5853" i="1"/>
  <c r="D6846" i="1"/>
  <c r="D6709" i="1"/>
  <c r="D5398" i="1"/>
  <c r="D5262" i="1"/>
  <c r="D1301" i="1"/>
  <c r="D7866" i="1"/>
  <c r="D2345" i="1"/>
  <c r="D1288" i="1"/>
  <c r="D1064" i="1"/>
  <c r="D7708" i="1"/>
  <c r="D477" i="1"/>
  <c r="D8038" i="1"/>
  <c r="D6628" i="1"/>
  <c r="D4143" i="1"/>
  <c r="D3052" i="1"/>
  <c r="D8611" i="1"/>
  <c r="D6695" i="1"/>
  <c r="D2878" i="1"/>
  <c r="D4995" i="1"/>
  <c r="D6320" i="1"/>
  <c r="D287" i="1"/>
  <c r="D1033" i="1"/>
  <c r="D4319" i="1"/>
  <c r="D8090" i="1"/>
  <c r="D6234" i="1"/>
  <c r="D7472" i="1"/>
  <c r="D6873" i="1"/>
  <c r="D6732" i="1"/>
  <c r="D7137" i="1"/>
  <c r="D1307" i="1"/>
  <c r="D2876" i="1"/>
  <c r="D6325" i="1"/>
  <c r="D147" i="1"/>
  <c r="D3921" i="1"/>
  <c r="D5358" i="1"/>
  <c r="D542" i="1"/>
  <c r="D343" i="1"/>
  <c r="D8032" i="1"/>
  <c r="D7551" i="1"/>
  <c r="D8354" i="1"/>
  <c r="D2453" i="1"/>
  <c r="D7520" i="1"/>
  <c r="D5739" i="1"/>
  <c r="D7605" i="1"/>
  <c r="D1177" i="1"/>
  <c r="D3029" i="1"/>
  <c r="D2645" i="1"/>
  <c r="D6492" i="1"/>
  <c r="D4729" i="1"/>
  <c r="D729" i="1"/>
  <c r="D747" i="1"/>
  <c r="D7498" i="1"/>
  <c r="D2296" i="1"/>
  <c r="D357" i="1"/>
  <c r="D8559" i="1"/>
  <c r="D7280" i="1"/>
  <c r="D7503" i="1"/>
  <c r="D156" i="1"/>
  <c r="D5052" i="1"/>
  <c r="D3914" i="1"/>
  <c r="D2344" i="1"/>
  <c r="D289" i="1"/>
  <c r="D3751" i="1"/>
  <c r="D4219" i="1"/>
  <c r="D352" i="1"/>
  <c r="D145" i="1"/>
  <c r="D1993" i="1"/>
  <c r="D6776" i="1"/>
  <c r="D6573" i="1"/>
  <c r="D5387" i="1"/>
  <c r="D6206" i="1"/>
  <c r="D8080" i="1"/>
  <c r="D3496" i="1"/>
  <c r="D4919" i="1"/>
  <c r="D3997" i="1"/>
  <c r="D6059" i="1"/>
  <c r="D8491" i="1"/>
  <c r="D1286" i="1"/>
  <c r="D4626" i="1"/>
  <c r="D3427" i="1"/>
  <c r="D7443" i="1"/>
  <c r="D3918" i="1"/>
  <c r="D234" i="1"/>
  <c r="D6818" i="1"/>
  <c r="D1942" i="1"/>
  <c r="D4987" i="1"/>
  <c r="D6405" i="1"/>
  <c r="D6575" i="1"/>
  <c r="D7310" i="1"/>
  <c r="D2679" i="1"/>
  <c r="D5036" i="1"/>
  <c r="D3980" i="1"/>
  <c r="D148" i="1"/>
  <c r="D7474" i="1"/>
  <c r="D7262" i="1"/>
  <c r="D5435" i="1"/>
  <c r="D1382" i="1"/>
  <c r="D5418" i="1"/>
  <c r="D961" i="1"/>
  <c r="D2331" i="1"/>
  <c r="D8102" i="1"/>
  <c r="D4719" i="1"/>
  <c r="D6866" i="1"/>
  <c r="D6678" i="1"/>
  <c r="D4287" i="1"/>
  <c r="D4747" i="1"/>
  <c r="D146" i="1"/>
  <c r="D3713" i="1"/>
  <c r="D8500" i="1"/>
  <c r="D5356" i="1"/>
  <c r="D953" i="1"/>
  <c r="D5421" i="1"/>
  <c r="D4537" i="1"/>
  <c r="D6221" i="1"/>
  <c r="D3949" i="1"/>
  <c r="D2479" i="1"/>
  <c r="D2795" i="1"/>
  <c r="D5233" i="1"/>
  <c r="D1570" i="1"/>
  <c r="D5775" i="1"/>
  <c r="D6504" i="1"/>
  <c r="D3073" i="1"/>
  <c r="D3976" i="1"/>
  <c r="D7470" i="1"/>
  <c r="D3087" i="1"/>
  <c r="D5649" i="1"/>
  <c r="D2488" i="1"/>
  <c r="D3206" i="1"/>
  <c r="D6875" i="1"/>
  <c r="D7186" i="1"/>
  <c r="D124" i="1"/>
  <c r="D6468" i="1"/>
  <c r="D2802" i="1"/>
  <c r="D7730" i="1"/>
  <c r="D4563" i="1"/>
  <c r="D8019" i="1"/>
  <c r="D3344" i="1"/>
  <c r="D4833" i="1"/>
  <c r="D5971" i="1"/>
  <c r="D4734" i="1"/>
  <c r="D345" i="1"/>
  <c r="D3519" i="1"/>
  <c r="D8698" i="1"/>
  <c r="D842" i="1"/>
  <c r="D6855" i="1"/>
  <c r="D6224" i="1"/>
  <c r="D7950" i="1"/>
  <c r="D2709" i="1"/>
  <c r="D3986" i="1"/>
  <c r="D1550" i="1"/>
  <c r="D5817" i="1"/>
  <c r="D2595" i="1"/>
  <c r="D5786" i="1"/>
  <c r="D3148" i="1"/>
  <c r="D1395" i="1"/>
  <c r="D1207" i="1"/>
  <c r="D1137" i="1"/>
  <c r="D5265" i="1"/>
  <c r="D6487" i="1"/>
  <c r="D3901" i="1"/>
  <c r="D4905" i="1"/>
  <c r="D2450" i="1"/>
  <c r="D4890" i="1"/>
  <c r="D3987" i="1"/>
  <c r="D4646" i="1"/>
  <c r="D1449" i="1"/>
  <c r="D7614" i="1"/>
  <c r="D2710" i="1"/>
  <c r="D7890" i="1"/>
  <c r="D2960" i="1"/>
  <c r="D3505" i="1"/>
  <c r="D301" i="1"/>
  <c r="D6022" i="1"/>
  <c r="D3796" i="1"/>
  <c r="D4561" i="1"/>
  <c r="D478" i="1"/>
  <c r="D6314" i="1"/>
  <c r="D4726" i="1"/>
  <c r="D294" i="1"/>
  <c r="D1729" i="1"/>
  <c r="D1513" i="1"/>
  <c r="D8502" i="1"/>
  <c r="D6871" i="1"/>
  <c r="D5438" i="1"/>
  <c r="D7411" i="1"/>
  <c r="D4756" i="1"/>
  <c r="D6727" i="1"/>
  <c r="D726" i="1"/>
  <c r="D7298" i="1"/>
  <c r="D2628" i="1"/>
  <c r="D7516" i="1"/>
  <c r="D5967" i="1"/>
  <c r="D1337" i="1"/>
  <c r="D4970" i="1"/>
  <c r="D8723" i="1"/>
  <c r="D1398" i="1"/>
  <c r="D2302" i="1"/>
  <c r="D8562" i="1"/>
  <c r="D8145" i="1"/>
  <c r="D2303" i="1"/>
  <c r="D7711" i="1"/>
  <c r="D3852" i="1"/>
  <c r="D2708" i="1"/>
  <c r="D1133" i="1"/>
  <c r="D6200" i="1"/>
  <c r="D6433" i="1"/>
  <c r="D3294" i="1"/>
  <c r="D6742" i="1"/>
  <c r="D3647" i="1"/>
  <c r="D3744" i="1"/>
  <c r="D1463" i="1"/>
  <c r="D5158" i="1"/>
  <c r="D6503" i="1"/>
  <c r="D5384" i="1"/>
  <c r="D6631" i="1"/>
  <c r="D327" i="1"/>
  <c r="D8147" i="1"/>
  <c r="D6757" i="1"/>
  <c r="D8683" i="1"/>
  <c r="D6228" i="1"/>
  <c r="D1032" i="1"/>
  <c r="D8323" i="1"/>
  <c r="D5956" i="1"/>
  <c r="D7667" i="1"/>
  <c r="D5790" i="1"/>
  <c r="D292" i="1"/>
  <c r="D7287" i="1"/>
  <c r="D346" i="1"/>
  <c r="D3963" i="1"/>
  <c r="D1889" i="1"/>
  <c r="D2305" i="1"/>
  <c r="D8582" i="1"/>
  <c r="D8522" i="1"/>
  <c r="D172" i="1"/>
  <c r="D1149" i="1"/>
  <c r="D3825" i="1"/>
  <c r="D4949" i="1"/>
  <c r="D3504" i="1"/>
  <c r="D3885" i="1"/>
  <c r="D4236" i="1"/>
  <c r="D7533" i="1"/>
  <c r="D6841" i="1"/>
  <c r="D2659" i="1"/>
  <c r="D1935" i="1"/>
  <c r="D4446" i="1"/>
  <c r="D3436" i="1"/>
  <c r="D5774" i="1"/>
  <c r="D2834" i="1"/>
  <c r="D2632" i="1"/>
  <c r="D5785" i="1"/>
  <c r="D6527" i="1"/>
  <c r="D1252" i="1"/>
  <c r="D3028" i="1"/>
  <c r="D5224" i="1"/>
  <c r="D5691" i="1"/>
  <c r="D285" i="1"/>
  <c r="D7646" i="1"/>
  <c r="D8250" i="1"/>
  <c r="D6308" i="1"/>
  <c r="D4069" i="1"/>
  <c r="D5632" i="1"/>
  <c r="D3210" i="1"/>
  <c r="D7497" i="1"/>
  <c r="D4094" i="1"/>
  <c r="D536" i="1"/>
  <c r="D2519" i="1"/>
  <c r="D6646" i="1"/>
  <c r="D485" i="1"/>
  <c r="D7206" i="1"/>
  <c r="D5857" i="1"/>
  <c r="D1362" i="1"/>
  <c r="D7512" i="1"/>
  <c r="D405" i="1"/>
  <c r="D3668" i="1"/>
  <c r="D4889" i="1"/>
  <c r="D8244" i="1"/>
  <c r="D908" i="1"/>
  <c r="D823" i="1"/>
  <c r="D616" i="1"/>
  <c r="D3707" i="1"/>
  <c r="D3228" i="1"/>
  <c r="D2619" i="1"/>
  <c r="D3792" i="1"/>
  <c r="D5577" i="1"/>
  <c r="D7502" i="1"/>
  <c r="D7260" i="1"/>
  <c r="D6923" i="1"/>
  <c r="D4723" i="1"/>
  <c r="D7185" i="1"/>
  <c r="D1396" i="1"/>
  <c r="D6505" i="1"/>
  <c r="D3979" i="1"/>
  <c r="D2777" i="1"/>
  <c r="D882" i="1"/>
  <c r="D6030" i="1"/>
  <c r="D4213" i="1"/>
  <c r="D3196" i="1"/>
  <c r="D7471" i="1"/>
  <c r="D2032" i="1"/>
  <c r="D984" i="1"/>
  <c r="D328" i="1"/>
  <c r="D5999" i="1"/>
  <c r="D4221" i="1"/>
  <c r="D4727" i="1"/>
  <c r="D3578" i="1"/>
  <c r="D1243" i="1"/>
  <c r="D5741" i="1"/>
  <c r="D6645" i="1"/>
  <c r="D1757" i="1"/>
  <c r="D2466" i="1"/>
  <c r="D361" i="1"/>
  <c r="D313" i="1"/>
  <c r="D3154" i="1"/>
  <c r="D6619" i="1"/>
  <c r="D643" i="1"/>
  <c r="D2464" i="1"/>
  <c r="D6164" i="1"/>
  <c r="D1533" i="1"/>
  <c r="D3602" i="1"/>
  <c r="D360" i="1"/>
  <c r="D5336" i="1"/>
  <c r="D6898" i="1"/>
  <c r="D6153" i="1"/>
  <c r="D3374" i="1"/>
  <c r="D127" i="1"/>
  <c r="D8724" i="1"/>
  <c r="D2871" i="1"/>
  <c r="D2533" i="1"/>
  <c r="D5047" i="1"/>
  <c r="D4288" i="1"/>
  <c r="D6744" i="1"/>
  <c r="D5333" i="1"/>
  <c r="D7052" i="1"/>
  <c r="D291" i="1"/>
  <c r="D2308" i="1"/>
  <c r="D7240" i="1"/>
  <c r="D2372" i="1"/>
  <c r="D4897" i="1"/>
  <c r="D7044" i="1"/>
  <c r="D4751" i="1"/>
  <c r="D3369" i="1"/>
  <c r="D997" i="1"/>
  <c r="D3993" i="1"/>
  <c r="D959" i="1"/>
  <c r="D8251" i="1"/>
  <c r="D7535" i="1"/>
  <c r="D7496" i="1"/>
  <c r="D3511" i="1"/>
  <c r="D723" i="1"/>
  <c r="D3962" i="1"/>
  <c r="D8053" i="1"/>
  <c r="D2757" i="1"/>
  <c r="D6252" i="1"/>
  <c r="D1011" i="1"/>
  <c r="D3409" i="1"/>
  <c r="D2647" i="1"/>
  <c r="D4578" i="1"/>
  <c r="D4006" i="1"/>
  <c r="D7817" i="1"/>
  <c r="D5591" i="1"/>
  <c r="D1965" i="1"/>
  <c r="D3673" i="1"/>
  <c r="D6997" i="1"/>
  <c r="D8672" i="1"/>
  <c r="D5511" i="1"/>
  <c r="D1852" i="1"/>
  <c r="D5661" i="1"/>
  <c r="D1392" i="1"/>
  <c r="D3824" i="1"/>
  <c r="D5048" i="1"/>
  <c r="D6916" i="1"/>
  <c r="D5745" i="1"/>
  <c r="D7652" i="1"/>
  <c r="D7653" i="1"/>
  <c r="D8546" i="1"/>
  <c r="D7328" i="1"/>
  <c r="D4875" i="1"/>
  <c r="D3379" i="1"/>
  <c r="D2143" i="1"/>
  <c r="D76" i="1"/>
  <c r="D3968" i="1"/>
  <c r="D8430" i="1"/>
  <c r="D273" i="1"/>
  <c r="D1048" i="1"/>
  <c r="D2881" i="1"/>
  <c r="D5697" i="1"/>
  <c r="D5500" i="1"/>
  <c r="D4661" i="1"/>
  <c r="D6201" i="1"/>
  <c r="D8411" i="1"/>
  <c r="D4629" i="1"/>
  <c r="D6803" i="1"/>
  <c r="D5882" i="1"/>
  <c r="D5350" i="1"/>
  <c r="D8657" i="1"/>
  <c r="D6629" i="1"/>
  <c r="D4012" i="1"/>
  <c r="D7476" i="1"/>
  <c r="D7956" i="1"/>
  <c r="D744" i="1"/>
  <c r="D5121" i="1"/>
  <c r="D6819" i="1"/>
  <c r="D2294" i="1"/>
  <c r="D1718" i="1"/>
  <c r="D3233" i="1"/>
  <c r="D7571" i="1"/>
  <c r="D5690" i="1"/>
  <c r="D2900" i="1"/>
  <c r="D5722" i="1"/>
  <c r="D2673" i="1"/>
  <c r="D7752" i="1"/>
  <c r="D3694" i="1"/>
  <c r="D5596" i="1"/>
  <c r="D7534" i="1"/>
  <c r="D5813" i="1"/>
  <c r="D3880" i="1"/>
  <c r="D1220" i="1"/>
  <c r="D6703" i="1"/>
  <c r="D4224" i="1"/>
  <c r="D7340" i="1"/>
  <c r="D2594" i="1"/>
  <c r="D460" i="1"/>
  <c r="D8069" i="1"/>
  <c r="D1542" i="1"/>
  <c r="D1029" i="1"/>
  <c r="D1206" i="1"/>
  <c r="D7197" i="1"/>
  <c r="D8748" i="1"/>
  <c r="D2734" i="1"/>
  <c r="D2403" i="1"/>
  <c r="D6192" i="1"/>
  <c r="D2891" i="1"/>
  <c r="D4456" i="1"/>
  <c r="D8594" i="1"/>
  <c r="D4634" i="1"/>
  <c r="D7217" i="1"/>
  <c r="D7162" i="1"/>
  <c r="D5467" i="1"/>
  <c r="D7612" i="1"/>
  <c r="D7665" i="1"/>
  <c r="D7108" i="1"/>
  <c r="D242" i="1"/>
  <c r="D2596" i="1"/>
  <c r="D5339" i="1"/>
  <c r="D6066" i="1"/>
  <c r="D7584" i="1"/>
  <c r="D6249" i="1"/>
  <c r="D7756" i="1"/>
  <c r="D4810" i="1"/>
  <c r="D1701" i="1"/>
  <c r="D4701" i="1"/>
  <c r="D4818" i="1"/>
  <c r="D3191" i="1"/>
  <c r="D4051" i="1"/>
  <c r="D4793" i="1"/>
  <c r="D7335" i="1"/>
  <c r="D5820" i="1"/>
  <c r="D2238" i="1"/>
  <c r="D6832" i="1"/>
  <c r="D4111" i="1"/>
  <c r="D6845" i="1"/>
  <c r="D7501" i="1"/>
  <c r="D5027" i="1"/>
  <c r="D5647" i="1"/>
  <c r="D491" i="1"/>
  <c r="D6587" i="1"/>
  <c r="D1263" i="1"/>
  <c r="D3018" i="1"/>
  <c r="D4555" i="1"/>
  <c r="D1705" i="1"/>
  <c r="D5582" i="1"/>
  <c r="D100" i="1"/>
  <c r="D6280" i="1"/>
  <c r="D1501" i="1"/>
  <c r="D5545" i="1"/>
  <c r="D8130" i="1"/>
  <c r="D1619" i="1"/>
  <c r="D4557" i="1"/>
  <c r="D7495" i="1"/>
  <c r="D1694" i="1"/>
  <c r="D4145" i="1"/>
  <c r="D4093" i="1"/>
  <c r="D625" i="1"/>
  <c r="D993" i="1"/>
  <c r="D6351" i="1"/>
  <c r="D705" i="1"/>
  <c r="D95" i="1"/>
  <c r="D5134" i="1"/>
  <c r="D4282" i="1"/>
  <c r="D8535" i="1"/>
  <c r="D6867" i="1"/>
  <c r="D549" i="1"/>
  <c r="D6956" i="1"/>
  <c r="D5723" i="1"/>
  <c r="D5399" i="1"/>
  <c r="D7649" i="1"/>
  <c r="D7422" i="1"/>
  <c r="D6248" i="1"/>
  <c r="D8410" i="1"/>
  <c r="D6889" i="1"/>
  <c r="D6390" i="1"/>
  <c r="D2261" i="1"/>
  <c r="D1602" i="1"/>
  <c r="D6552" i="1"/>
  <c r="D3940" i="1"/>
  <c r="D8496" i="1"/>
  <c r="D3917" i="1"/>
  <c r="D93" i="1"/>
  <c r="D3572" i="1"/>
  <c r="D3853" i="1"/>
  <c r="D2286" i="1"/>
  <c r="D298" i="1"/>
  <c r="D3422" i="1"/>
  <c r="D3241" i="1"/>
  <c r="D2396" i="1"/>
  <c r="D2837" i="1"/>
  <c r="D587" i="1"/>
  <c r="D6600" i="1"/>
  <c r="D545" i="1"/>
  <c r="D7934" i="1"/>
  <c r="D7688" i="1"/>
  <c r="D8059" i="1"/>
  <c r="D3201" i="1"/>
  <c r="D1510" i="1"/>
  <c r="D230" i="1"/>
  <c r="D2904" i="1"/>
  <c r="D5685" i="1"/>
  <c r="D7341" i="1"/>
  <c r="D7590" i="1"/>
  <c r="D2766" i="1"/>
  <c r="D7632" i="1"/>
  <c r="D232" i="1"/>
  <c r="D7538" i="1"/>
  <c r="D3370" i="1"/>
  <c r="D4674" i="1"/>
  <c r="D841" i="1"/>
  <c r="D2065" i="1"/>
  <c r="D1668" i="1"/>
  <c r="D3108" i="1"/>
  <c r="D7935" i="1"/>
  <c r="D1281" i="1"/>
  <c r="D6196" i="1"/>
  <c r="D5523" i="1"/>
  <c r="D6292" i="1"/>
  <c r="D4045" i="1"/>
  <c r="D3043" i="1"/>
  <c r="D4665" i="1"/>
  <c r="D3273" i="1"/>
  <c r="D3394" i="1"/>
  <c r="D8014" i="1"/>
  <c r="D6321" i="1"/>
  <c r="D140" i="1"/>
  <c r="D4289" i="1"/>
  <c r="D235" i="1"/>
  <c r="D8243" i="1"/>
  <c r="D7493" i="1"/>
  <c r="D593" i="1"/>
  <c r="D2677" i="1"/>
  <c r="D7965" i="1"/>
  <c r="D6852" i="1"/>
  <c r="D7276" i="1"/>
  <c r="D6988" i="1"/>
  <c r="D5238" i="1"/>
  <c r="D5884" i="1"/>
  <c r="D1953" i="1"/>
  <c r="D1773" i="1"/>
  <c r="D3309" i="1"/>
  <c r="D6834" i="1"/>
  <c r="D5634" i="1"/>
  <c r="D8585" i="1"/>
  <c r="D4198" i="1"/>
  <c r="D7417" i="1"/>
  <c r="D429" i="1"/>
  <c r="D7447" i="1"/>
  <c r="D7281" i="1"/>
  <c r="D7353" i="1"/>
  <c r="D7776" i="1"/>
  <c r="D5880" i="1"/>
  <c r="D1915" i="1"/>
  <c r="D7253" i="1"/>
  <c r="D3831" i="1"/>
  <c r="D7499" i="1"/>
  <c r="D4004" i="1"/>
  <c r="D5603" i="1"/>
  <c r="D8237" i="1"/>
  <c r="D6515" i="1"/>
  <c r="D5530" i="1"/>
  <c r="D4990" i="1"/>
  <c r="D4973" i="1"/>
  <c r="D6475" i="1"/>
  <c r="D738" i="1"/>
  <c r="D1538" i="1"/>
  <c r="D7219" i="1"/>
  <c r="D5987" i="1"/>
  <c r="D6682" i="1"/>
  <c r="D5180" i="1"/>
  <c r="D6540" i="1"/>
  <c r="D5342" i="1"/>
  <c r="D1199" i="1"/>
  <c r="D4965" i="1"/>
  <c r="D3418" i="1"/>
  <c r="D3200" i="1"/>
  <c r="D6741" i="1"/>
  <c r="D2467" i="1"/>
  <c r="D5528" i="1"/>
  <c r="D4744" i="1"/>
  <c r="D325" i="1"/>
  <c r="D8397" i="1"/>
  <c r="D194" i="1"/>
  <c r="D4778" i="1"/>
  <c r="D5573" i="1"/>
  <c r="D8101" i="1"/>
  <c r="D1870" i="1"/>
  <c r="D4918" i="1"/>
  <c r="D6847" i="1"/>
  <c r="D3101" i="1"/>
  <c r="D8155" i="1"/>
  <c r="D8696" i="1"/>
  <c r="D4966" i="1"/>
  <c r="D4969" i="1"/>
  <c r="D6828" i="1"/>
  <c r="D290" i="1"/>
  <c r="D6851" i="1"/>
  <c r="D4764" i="1"/>
  <c r="D6711" i="1"/>
  <c r="D6754" i="1"/>
  <c r="D6274" i="1"/>
  <c r="D353" i="1"/>
  <c r="D2468" i="1"/>
  <c r="D2641" i="1"/>
  <c r="D6865" i="1"/>
  <c r="D7511" i="1"/>
  <c r="D1311" i="1"/>
  <c r="D6671" i="1"/>
  <c r="D486" i="1"/>
  <c r="D6395" i="1"/>
  <c r="D4064" i="1"/>
  <c r="D3930" i="1"/>
  <c r="D1926" i="1"/>
  <c r="D5560" i="1"/>
  <c r="D7813" i="1"/>
  <c r="D4930" i="1"/>
  <c r="D660" i="1"/>
  <c r="D8084" i="1"/>
  <c r="D996" i="1"/>
  <c r="D8476" i="1"/>
  <c r="D773" i="1"/>
  <c r="D4953" i="1"/>
  <c r="D6566" i="1"/>
  <c r="D2991" i="1"/>
  <c r="D6848" i="1"/>
  <c r="D5058" i="1"/>
  <c r="D730" i="1"/>
  <c r="D2658" i="1"/>
  <c r="D7942" i="1"/>
  <c r="D5489" i="1"/>
  <c r="D4467" i="1"/>
  <c r="D2626" i="1"/>
  <c r="D3804" i="1"/>
  <c r="D3414" i="1"/>
  <c r="D8148" i="1"/>
  <c r="D4975" i="1"/>
  <c r="D8070" i="1"/>
  <c r="D4996" i="1"/>
  <c r="D208" i="1"/>
  <c r="D6771" i="1"/>
  <c r="D2373" i="1"/>
  <c r="D6570" i="1"/>
  <c r="D1796" i="1"/>
  <c r="D3027" i="1"/>
  <c r="D3089" i="1"/>
  <c r="D4603" i="1"/>
  <c r="D3124" i="1"/>
  <c r="D4545" i="1"/>
  <c r="D644" i="1"/>
  <c r="D2738" i="1"/>
  <c r="D6242" i="1"/>
  <c r="D319" i="1"/>
  <c r="D193" i="1"/>
  <c r="D4043" i="1"/>
  <c r="D3912" i="1"/>
  <c r="D929" i="1"/>
  <c r="D2251" i="1"/>
  <c r="D8387" i="1"/>
  <c r="D1176" i="1"/>
  <c r="D314" i="1"/>
  <c r="D7523" i="1"/>
  <c r="D3183" i="1"/>
  <c r="D574" i="1"/>
  <c r="D5156" i="1"/>
  <c r="D1672" i="1"/>
  <c r="D1439" i="1"/>
  <c r="D2341" i="1"/>
  <c r="D3610" i="1"/>
  <c r="D646" i="1"/>
  <c r="D4404" i="1"/>
  <c r="D8127" i="1"/>
  <c r="D3877" i="1"/>
  <c r="D4694" i="1"/>
  <c r="D488" i="1"/>
  <c r="D1343" i="1"/>
  <c r="D8129" i="1"/>
  <c r="D8666" i="1"/>
  <c r="D5496" i="1"/>
  <c r="D4056" i="1"/>
  <c r="D1997" i="1"/>
  <c r="D5417" i="1"/>
  <c r="D5625" i="1"/>
  <c r="D1122" i="1"/>
  <c r="D1496" i="1"/>
  <c r="D284" i="1"/>
  <c r="D2838" i="1"/>
  <c r="D7316" i="1"/>
  <c r="D5117" i="1"/>
  <c r="D1524" i="1"/>
  <c r="D7836" i="1"/>
  <c r="D288" i="1"/>
  <c r="D1478" i="1"/>
  <c r="D3181" i="1"/>
  <c r="D3524" i="1"/>
  <c r="D6602" i="1"/>
  <c r="D2616" i="1"/>
  <c r="D7996" i="1"/>
  <c r="D8711" i="1"/>
  <c r="D7010" i="1"/>
  <c r="D6809" i="1"/>
  <c r="D4787" i="1"/>
  <c r="D4133" i="1"/>
  <c r="D1669" i="1"/>
  <c r="D6625" i="1"/>
  <c r="D4737" i="1"/>
  <c r="D1934" i="1"/>
  <c r="D4583" i="1"/>
  <c r="D4850" i="1"/>
  <c r="D1598" i="1"/>
  <c r="D8241" i="1"/>
  <c r="D3561" i="1"/>
  <c r="D978" i="1"/>
  <c r="D201" i="1"/>
  <c r="D3924" i="1"/>
  <c r="D6687" i="1"/>
  <c r="D4525" i="1"/>
  <c r="D1357" i="1"/>
  <c r="D1812" i="1"/>
  <c r="D540" i="1"/>
  <c r="D7346" i="1"/>
  <c r="D6488" i="1"/>
  <c r="D7779" i="1"/>
  <c r="D1152" i="1"/>
  <c r="D435" i="1"/>
  <c r="D5231" i="1"/>
  <c r="D3186" i="1"/>
  <c r="D6840" i="1"/>
  <c r="D5212" i="1"/>
  <c r="D8693" i="1"/>
  <c r="D4541" i="1"/>
  <c r="D5394" i="1"/>
  <c r="D8382" i="1"/>
  <c r="D5226" i="1"/>
  <c r="D519" i="1"/>
  <c r="D1684" i="1"/>
  <c r="D7661" i="1"/>
  <c r="D514" i="1"/>
  <c r="D6654" i="1"/>
  <c r="D8001" i="1"/>
  <c r="D2170" i="1"/>
  <c r="D6571" i="1"/>
  <c r="D494" i="1"/>
  <c r="D6011" i="1"/>
  <c r="D3391" i="1"/>
  <c r="D1518" i="1"/>
  <c r="D6658" i="1"/>
  <c r="D8377" i="1"/>
  <c r="D7827" i="1"/>
  <c r="D3488" i="1"/>
  <c r="D790" i="1"/>
  <c r="D101" i="1"/>
  <c r="D4772" i="1"/>
  <c r="D6407" i="1"/>
  <c r="D8583" i="1"/>
  <c r="D5679" i="1"/>
  <c r="D2263" i="1"/>
  <c r="D839" i="1"/>
  <c r="D3190" i="1"/>
  <c r="D866" i="1"/>
  <c r="D4585" i="1"/>
  <c r="D7332" i="1"/>
  <c r="D3009" i="1"/>
  <c r="D4130" i="1"/>
  <c r="D221" i="1"/>
  <c r="D3925" i="1"/>
  <c r="D6676" i="1"/>
  <c r="D2358" i="1"/>
  <c r="D4476" i="1"/>
  <c r="D3667" i="1"/>
  <c r="D3584" i="1"/>
  <c r="D5329" i="1"/>
  <c r="D8401" i="1"/>
  <c r="D8470" i="1"/>
  <c r="D6738" i="1"/>
  <c r="D5365" i="1"/>
  <c r="D5615" i="1"/>
  <c r="D4109" i="1"/>
  <c r="D8667" i="1"/>
  <c r="D3321" i="1"/>
  <c r="D3355" i="1"/>
  <c r="D1898" i="1"/>
  <c r="D6989" i="1"/>
  <c r="D1061" i="1"/>
  <c r="D3212" i="1"/>
  <c r="D7702" i="1"/>
  <c r="D3641" i="1"/>
  <c r="D8499" i="1"/>
  <c r="D2420" i="1"/>
  <c r="D7939" i="1"/>
  <c r="D5439" i="1"/>
  <c r="D3143" i="1"/>
  <c r="D675" i="1"/>
  <c r="D1291" i="1"/>
  <c r="D4575" i="1"/>
  <c r="D4358" i="1"/>
  <c r="D8012" i="1"/>
  <c r="D8057" i="1"/>
  <c r="D4595" i="1"/>
  <c r="D986" i="1"/>
  <c r="D7464" i="1"/>
  <c r="D7783" i="1"/>
  <c r="D8659" i="1"/>
  <c r="D4576" i="1"/>
  <c r="D4349" i="1"/>
  <c r="D8000" i="1"/>
  <c r="D6441" i="1"/>
  <c r="D4196" i="1"/>
  <c r="D8315" i="1"/>
  <c r="D6896" i="1"/>
  <c r="D7125" i="1"/>
  <c r="D6466" i="1"/>
  <c r="D5730" i="1"/>
  <c r="D1351" i="1"/>
  <c r="D526" i="1"/>
  <c r="D2063" i="1"/>
  <c r="D3246" i="1"/>
  <c r="D7784" i="1"/>
  <c r="D786" i="1"/>
  <c r="D4345" i="1"/>
  <c r="D2663" i="1"/>
  <c r="D2080" i="1"/>
  <c r="D1661" i="1"/>
  <c r="D1296" i="1"/>
  <c r="D2336" i="1"/>
  <c r="D8002" i="1"/>
  <c r="D3514" i="1"/>
  <c r="D5622" i="1"/>
  <c r="D8451" i="1"/>
  <c r="D7208" i="1"/>
  <c r="D329" i="1"/>
  <c r="D4738" i="1"/>
  <c r="D3293" i="1"/>
  <c r="D972" i="1"/>
  <c r="D7560" i="1"/>
  <c r="D3666" i="1"/>
  <c r="D7525" i="1"/>
  <c r="D4136" i="1"/>
  <c r="D3134" i="1"/>
  <c r="D4009" i="1"/>
  <c r="D2875" i="1"/>
  <c r="D8007" i="1"/>
  <c r="D7953" i="1"/>
  <c r="D1790" i="1"/>
  <c r="D3499" i="1"/>
  <c r="D3627" i="1"/>
  <c r="D265" i="1"/>
  <c r="D5411" i="1"/>
  <c r="D7305" i="1"/>
  <c r="D4588" i="1"/>
  <c r="D5221" i="1"/>
  <c r="D6578" i="1"/>
  <c r="D334" i="1"/>
  <c r="D7717" i="1"/>
  <c r="D1665" i="1"/>
  <c r="D1531" i="1"/>
  <c r="D1801" i="1"/>
  <c r="D6348" i="1"/>
  <c r="D6028" i="1"/>
  <c r="D614" i="1"/>
  <c r="D6295" i="1"/>
  <c r="D6642" i="1"/>
  <c r="D1724" i="1"/>
  <c r="D7317" i="1"/>
  <c r="D5943" i="1"/>
  <c r="D5022" i="1"/>
  <c r="D7785" i="1"/>
  <c r="D3865" i="1"/>
  <c r="D5520" i="1"/>
  <c r="D6773" i="1"/>
  <c r="D5168" i="1"/>
  <c r="D6542" i="1"/>
  <c r="D6770" i="1"/>
  <c r="D7451" i="1"/>
  <c r="D7655" i="1"/>
  <c r="D8044" i="1"/>
  <c r="D828" i="1"/>
  <c r="D6536" i="1"/>
  <c r="D711" i="1"/>
  <c r="D7645" i="1"/>
  <c r="D1678" i="1"/>
  <c r="D3315" i="1"/>
  <c r="D5788" i="1"/>
  <c r="D7973" i="1"/>
  <c r="D3703" i="1"/>
  <c r="D4812" i="1"/>
  <c r="D223" i="1"/>
  <c r="D3031" i="1"/>
  <c r="D1332" i="1"/>
  <c r="D1333" i="1"/>
  <c r="D3226" i="1"/>
  <c r="D7508" i="1"/>
  <c r="D15" i="1"/>
  <c r="D2682" i="1"/>
  <c r="D5611" i="1"/>
  <c r="D1000" i="1"/>
  <c r="D4619" i="1"/>
  <c r="D5631" i="1"/>
  <c r="D2592" i="1"/>
  <c r="D4601" i="1"/>
  <c r="D6497" i="1"/>
  <c r="D2288" i="1"/>
  <c r="D3737" i="1"/>
  <c r="D4461" i="1"/>
  <c r="D7421" i="1"/>
  <c r="D1244" i="1"/>
  <c r="D559" i="1"/>
  <c r="D8407" i="1"/>
  <c r="D5897" i="1"/>
  <c r="D4733" i="1"/>
  <c r="D1648" i="1"/>
  <c r="D5368" i="1"/>
  <c r="D4050" i="1"/>
  <c r="D2600" i="1"/>
  <c r="D8545" i="1"/>
  <c r="D5898" i="1"/>
  <c r="D6345" i="1"/>
  <c r="D8385" i="1"/>
  <c r="D3820" i="1"/>
  <c r="D673" i="1"/>
  <c r="D4857" i="1"/>
  <c r="D1342" i="1"/>
  <c r="D856" i="1"/>
  <c r="D7917" i="1"/>
  <c r="D3275" i="1"/>
  <c r="D634" i="1"/>
  <c r="D6416" i="1"/>
  <c r="D6893" i="1"/>
  <c r="D5910" i="1"/>
  <c r="D34" i="1"/>
  <c r="D6379" i="1"/>
  <c r="D3382" i="1"/>
  <c r="D1746" i="1"/>
  <c r="D2167" i="1"/>
  <c r="D5441" i="1"/>
  <c r="D3576" i="1"/>
  <c r="D6895" i="1"/>
  <c r="D2369" i="1"/>
  <c r="D7254" i="1"/>
  <c r="D7283" i="1"/>
  <c r="D8415" i="1"/>
  <c r="D976" i="1"/>
  <c r="D6226" i="1"/>
  <c r="D388" i="1"/>
  <c r="D6469" i="1"/>
  <c r="D1361" i="1"/>
  <c r="D2278" i="1"/>
  <c r="D6991" i="1"/>
  <c r="D44" i="1"/>
  <c r="D4972" i="1"/>
  <c r="D3650" i="1"/>
  <c r="D415" i="1"/>
  <c r="D5393" i="1"/>
  <c r="D632" i="1"/>
  <c r="D2117" i="1"/>
  <c r="D1638" i="1"/>
  <c r="D5193" i="1"/>
  <c r="D5791" i="1"/>
  <c r="D4540" i="1"/>
  <c r="D5960" i="1"/>
  <c r="D3771" i="1"/>
  <c r="D3352" i="1"/>
  <c r="D4884" i="1"/>
  <c r="D4392" i="1"/>
  <c r="D5309" i="1"/>
  <c r="D3770" i="1"/>
  <c r="D5353" i="1"/>
  <c r="D1795" i="1"/>
  <c r="D6372" i="1"/>
  <c r="D8508" i="1"/>
  <c r="D1824" i="1"/>
  <c r="D1747" i="1"/>
  <c r="D3351" i="1"/>
  <c r="D2146" i="1"/>
  <c r="D6915" i="1"/>
  <c r="D5278" i="1"/>
  <c r="D2208" i="1"/>
  <c r="D8653" i="1"/>
  <c r="D6190" i="1"/>
  <c r="D2023" i="1"/>
  <c r="D4263" i="1"/>
  <c r="D5905" i="1"/>
  <c r="D6341" i="1"/>
  <c r="D3408" i="1"/>
  <c r="D7233" i="1"/>
  <c r="D2019" i="1"/>
  <c r="D4306" i="1"/>
  <c r="D2541" i="1"/>
  <c r="D5902" i="1"/>
  <c r="D6782" i="1"/>
  <c r="D3529" i="1"/>
  <c r="D2394" i="1"/>
  <c r="D7947" i="1"/>
  <c r="D3959" i="1"/>
  <c r="D6408" i="1"/>
  <c r="D2818" i="1"/>
  <c r="D6217" i="1"/>
  <c r="D1483" i="1"/>
  <c r="D6633" i="1"/>
  <c r="D2185" i="1"/>
  <c r="D2150" i="1"/>
  <c r="D2390" i="1"/>
  <c r="D8714" i="1"/>
  <c r="D691" i="1"/>
  <c r="D2675" i="1"/>
  <c r="D4307" i="1"/>
  <c r="D1584" i="1"/>
  <c r="D3638" i="1"/>
  <c r="D2393" i="1"/>
  <c r="D6223" i="1"/>
  <c r="D3123" i="1"/>
  <c r="D8652" i="1"/>
  <c r="D1514" i="1"/>
  <c r="D2819" i="1"/>
  <c r="D2604" i="1"/>
  <c r="D3359" i="1"/>
  <c r="D4842" i="1"/>
  <c r="D3664" i="1"/>
  <c r="D3279" i="1"/>
  <c r="D7255" i="1"/>
  <c r="D5712" i="1"/>
  <c r="D3583" i="1"/>
  <c r="D4971" i="1"/>
  <c r="D6384" i="1"/>
  <c r="D3001" i="1"/>
  <c r="D3586" i="1"/>
  <c r="D4499" i="1"/>
  <c r="D1630" i="1"/>
  <c r="D5165" i="1"/>
  <c r="D2388" i="1"/>
  <c r="D6907" i="1"/>
  <c r="D8592" i="1"/>
  <c r="D3120" i="1"/>
  <c r="D2111" i="1"/>
  <c r="D8468" i="1"/>
  <c r="D8665" i="1"/>
  <c r="D1745" i="1"/>
  <c r="D982" i="1"/>
  <c r="D670" i="1"/>
  <c r="D8046" i="1"/>
  <c r="D2973" i="1"/>
  <c r="D5294" i="1"/>
  <c r="D5088" i="1"/>
  <c r="D57" i="1"/>
  <c r="D6942" i="1"/>
  <c r="D7799" i="1"/>
  <c r="D8750" i="1"/>
  <c r="D8449" i="1"/>
  <c r="D4488" i="1"/>
  <c r="D3268" i="1"/>
  <c r="D407" i="1"/>
  <c r="D2076" i="1"/>
  <c r="D3439" i="1"/>
  <c r="D3182" i="1"/>
  <c r="D70" i="1"/>
  <c r="D2183" i="1"/>
  <c r="D1841" i="1"/>
  <c r="D4161" i="1"/>
  <c r="D8510" i="1"/>
  <c r="D5024" i="1"/>
  <c r="D8051" i="1"/>
  <c r="D6343" i="1"/>
  <c r="D7624" i="1"/>
  <c r="D2152" i="1"/>
  <c r="D7926" i="1"/>
  <c r="D11" i="1"/>
  <c r="D72" i="1"/>
  <c r="D3715" i="1"/>
  <c r="D5433" i="1"/>
  <c r="D6699" i="1"/>
  <c r="D5217" i="1"/>
  <c r="D3263" i="1"/>
  <c r="D1769" i="1"/>
  <c r="D1647" i="1"/>
  <c r="D1653" i="1"/>
  <c r="D8472" i="1"/>
  <c r="D2820" i="1"/>
  <c r="D3007" i="1"/>
  <c r="D5295" i="1"/>
  <c r="D6306" i="1"/>
  <c r="D3376" i="1"/>
  <c r="D1597" i="1"/>
  <c r="D1187" i="1"/>
  <c r="D2796" i="1"/>
  <c r="D4474" i="1"/>
  <c r="D4481" i="1"/>
  <c r="D6747" i="1"/>
  <c r="D3094" i="1"/>
  <c r="D3754" i="1"/>
  <c r="D5951" i="1"/>
  <c r="D576" i="1"/>
  <c r="D2088" i="1"/>
  <c r="D323" i="1"/>
  <c r="D7330" i="1"/>
  <c r="D3428" i="1"/>
  <c r="D1578" i="1"/>
  <c r="D421" i="1"/>
  <c r="D508" i="1"/>
  <c r="D2129" i="1"/>
  <c r="D1996" i="1"/>
  <c r="D183" i="1"/>
  <c r="D6941" i="1"/>
  <c r="D1614" i="1"/>
  <c r="D7377" i="1"/>
  <c r="D5915" i="1"/>
  <c r="D751" i="1"/>
  <c r="D3245" i="1"/>
  <c r="D6927" i="1"/>
  <c r="D2135" i="1"/>
  <c r="D6921" i="1"/>
  <c r="D2813" i="1"/>
  <c r="D5587" i="1"/>
  <c r="D1615" i="1"/>
  <c r="D3316" i="1"/>
  <c r="D8757" i="1"/>
  <c r="D2814" i="1"/>
  <c r="D7045" i="1"/>
  <c r="D3377" i="1"/>
  <c r="D8426" i="1"/>
  <c r="D5106" i="1"/>
  <c r="D209" i="1"/>
  <c r="D7092" i="1"/>
  <c r="D895" i="1"/>
  <c r="D213" i="1"/>
  <c r="D3107" i="1"/>
  <c r="D2465" i="1"/>
  <c r="D883" i="1"/>
  <c r="D7835" i="1"/>
  <c r="D6643" i="1"/>
  <c r="D5728" i="1"/>
  <c r="D2883" i="1"/>
  <c r="D7857" i="1"/>
  <c r="D3421" i="1"/>
  <c r="D7445" i="1"/>
  <c r="D6719" i="1"/>
  <c r="D619" i="1"/>
  <c r="D7542" i="1"/>
  <c r="D7903" i="1"/>
  <c r="D911" i="1"/>
  <c r="D5185" i="1"/>
  <c r="D5351" i="1"/>
  <c r="D4570" i="1"/>
  <c r="D3175" i="1"/>
  <c r="D2646" i="1"/>
  <c r="D1259" i="1"/>
  <c r="D2314" i="1"/>
  <c r="D3863" i="1"/>
  <c r="D2357" i="1"/>
  <c r="D3749" i="1"/>
  <c r="D4430" i="1"/>
  <c r="D1230" i="1"/>
  <c r="D6690" i="1"/>
  <c r="D4170" i="1"/>
  <c r="D347" i="1"/>
  <c r="D6301" i="1"/>
  <c r="D3395" i="1"/>
  <c r="D8093" i="1"/>
  <c r="D471" i="1"/>
  <c r="D7960" i="1"/>
  <c r="D7714" i="1"/>
  <c r="D1302" i="1"/>
  <c r="D5091" i="1"/>
  <c r="D752" i="1"/>
  <c r="D2437" i="1"/>
  <c r="D1872" i="1"/>
  <c r="D2254" i="1"/>
  <c r="D81" i="1"/>
  <c r="D4604" i="1"/>
  <c r="D2655" i="1"/>
  <c r="D2607" i="1"/>
  <c r="D8373" i="1"/>
  <c r="D8179" i="1"/>
  <c r="D3819" i="1"/>
  <c r="D3977" i="1"/>
  <c r="D1703" i="1"/>
  <c r="D5475" i="1"/>
  <c r="D6755" i="1"/>
  <c r="D144" i="1"/>
  <c r="D5707" i="1"/>
  <c r="D579" i="1"/>
  <c r="D6010" i="1"/>
  <c r="D1233" i="1"/>
  <c r="D8266" i="1"/>
  <c r="D6681" i="1"/>
  <c r="D4637" i="1"/>
  <c r="D2890" i="1"/>
  <c r="D2153" i="1"/>
  <c r="D5362" i="1"/>
  <c r="D8716" i="1"/>
  <c r="D6067" i="1"/>
  <c r="D3654" i="1"/>
  <c r="D1563" i="1"/>
  <c r="D7074" i="1"/>
  <c r="D5908" i="1"/>
  <c r="D4429" i="1"/>
  <c r="D4427" i="1"/>
  <c r="D1084" i="1"/>
  <c r="D7055" i="1"/>
  <c r="D354" i="1"/>
  <c r="D7142" i="1"/>
  <c r="D3425" i="1"/>
  <c r="D4337" i="1"/>
  <c r="D4331" i="1"/>
  <c r="D1846" i="1"/>
  <c r="D6750" i="1"/>
  <c r="D2428" i="1"/>
  <c r="D5510" i="1"/>
  <c r="D3426" i="1"/>
  <c r="D351" i="1"/>
  <c r="D4509" i="1"/>
  <c r="D3340" i="1"/>
  <c r="D4368" i="1"/>
  <c r="D4366" i="1"/>
  <c r="D4437" i="1"/>
  <c r="D4361" i="1"/>
  <c r="D5840" i="1"/>
  <c r="D6364" i="1"/>
  <c r="D4037" i="1"/>
  <c r="D5687" i="1"/>
  <c r="D7060" i="1"/>
  <c r="D1683" i="1"/>
  <c r="D5954" i="1"/>
  <c r="D4732" i="1"/>
  <c r="D6878" i="1"/>
  <c r="D6530" i="1"/>
  <c r="D3019" i="1"/>
  <c r="D8161" i="1"/>
  <c r="D3491" i="1"/>
  <c r="D4517" i="1"/>
  <c r="D6897" i="1"/>
  <c r="D7059" i="1"/>
  <c r="D6302" i="1"/>
  <c r="D2603" i="1"/>
  <c r="D6363" i="1"/>
  <c r="D3795" i="1"/>
  <c r="D950" i="1"/>
  <c r="D930" i="1"/>
  <c r="D7487" i="1"/>
  <c r="D3310" i="1"/>
  <c r="D5640" i="1"/>
  <c r="D1210" i="1"/>
  <c r="D2448" i="1"/>
  <c r="D1055" i="1"/>
  <c r="D4356" i="1"/>
  <c r="D4529" i="1"/>
  <c r="D4519" i="1"/>
  <c r="D2469" i="1"/>
  <c r="D5781" i="1"/>
  <c r="D591" i="1"/>
  <c r="D3907" i="1"/>
  <c r="D4336" i="1"/>
  <c r="D4363" i="1"/>
  <c r="D5331" i="1"/>
  <c r="D5283" i="1"/>
  <c r="D7663" i="1"/>
  <c r="D6387" i="1"/>
  <c r="D184" i="1"/>
  <c r="D3187" i="1"/>
  <c r="D222" i="1"/>
  <c r="D5998" i="1"/>
  <c r="D5276" i="1"/>
  <c r="D1366" i="1"/>
  <c r="D6971" i="1"/>
  <c r="D1497" i="1"/>
  <c r="D3372" i="1"/>
  <c r="D2867" i="1"/>
  <c r="D5029" i="1"/>
  <c r="D1158" i="1"/>
  <c r="D7595" i="1"/>
  <c r="D3801" i="1"/>
  <c r="D5590" i="1"/>
  <c r="D6862" i="1"/>
  <c r="D3791" i="1"/>
  <c r="D728" i="1"/>
  <c r="D3982" i="1"/>
  <c r="D457" i="1"/>
  <c r="D3765" i="1"/>
  <c r="D2236" i="1"/>
  <c r="D5146" i="1"/>
  <c r="D3932" i="1"/>
  <c r="D7005" i="1"/>
  <c r="D5895" i="1"/>
  <c r="D7826" i="1"/>
  <c r="D7352" i="1"/>
  <c r="D3999" i="1"/>
  <c r="D264" i="1"/>
  <c r="D8171" i="1"/>
  <c r="D5219" i="1"/>
  <c r="D4354" i="1"/>
  <c r="D7704" i="1"/>
  <c r="D737" i="1"/>
  <c r="D6220" i="1"/>
  <c r="D1295" i="1"/>
  <c r="D4955" i="1"/>
  <c r="D315" i="1"/>
  <c r="D8447" i="1"/>
  <c r="D1677" i="1"/>
  <c r="D8113" i="1"/>
  <c r="D7634" i="1"/>
  <c r="D4777" i="1"/>
  <c r="D2035" i="1"/>
  <c r="D6459" i="1"/>
  <c r="D669" i="1"/>
  <c r="D8122" i="1"/>
  <c r="D7988" i="1"/>
  <c r="D4484" i="1"/>
  <c r="D53" i="1"/>
  <c r="D4162" i="1"/>
  <c r="D5242" i="1"/>
  <c r="D4106" i="1"/>
  <c r="D6457" i="1"/>
  <c r="D3144" i="1"/>
  <c r="D4837" i="1"/>
  <c r="D8052" i="1"/>
  <c r="D4107" i="1"/>
  <c r="D8464" i="1"/>
  <c r="D7427" i="1"/>
  <c r="D4761" i="1"/>
  <c r="D3644" i="1"/>
  <c r="D7095" i="1"/>
  <c r="D7033" i="1"/>
  <c r="D7425" i="1"/>
  <c r="D3767" i="1"/>
  <c r="D1532" i="1"/>
  <c r="D5906" i="1"/>
  <c r="D5252" i="1"/>
  <c r="D7388" i="1"/>
  <c r="D6781" i="1"/>
  <c r="D6409" i="1"/>
  <c r="D727" i="1"/>
  <c r="D4218" i="1"/>
  <c r="D6586" i="1"/>
  <c r="D401" i="1"/>
  <c r="D2038" i="1"/>
  <c r="D2551" i="1"/>
  <c r="D1399" i="1"/>
  <c r="D3449" i="1"/>
  <c r="D6018" i="1"/>
  <c r="D1988" i="1"/>
  <c r="D7107" i="1"/>
  <c r="D4322" i="1"/>
  <c r="D4140" i="1"/>
  <c r="D3118" i="1"/>
  <c r="D1803" i="1"/>
  <c r="D3385" i="1"/>
  <c r="D6235" i="1"/>
  <c r="D5802" i="1"/>
  <c r="D5183" i="1"/>
  <c r="D4693" i="1"/>
  <c r="D3629" i="1"/>
  <c r="D5122" i="1"/>
  <c r="D4083" i="1"/>
  <c r="D5220" i="1"/>
  <c r="D594" i="1"/>
  <c r="D6388" i="1"/>
  <c r="D8587" i="1"/>
  <c r="D7130" i="1"/>
  <c r="D5953" i="1"/>
  <c r="D3692" i="1"/>
  <c r="D2736" i="1"/>
  <c r="D3156" i="1"/>
  <c r="D59" i="1"/>
  <c r="D4315" i="1"/>
  <c r="D8460" i="1"/>
  <c r="D1045" i="1"/>
  <c r="D240" i="1"/>
  <c r="D3160" i="1"/>
  <c r="D2724" i="1"/>
  <c r="D704" i="1"/>
  <c r="D6458" i="1"/>
  <c r="D56" i="1"/>
  <c r="D1656" i="1"/>
  <c r="D5904" i="1"/>
  <c r="D8707" i="1"/>
  <c r="D2161" i="1"/>
  <c r="D317" i="1"/>
  <c r="D7633" i="1"/>
  <c r="D1738" i="1"/>
  <c r="D3756" i="1"/>
  <c r="D4141" i="1"/>
  <c r="D6467" i="1"/>
  <c r="D8448" i="1"/>
  <c r="D3582" i="1"/>
  <c r="D241" i="1"/>
  <c r="D5009" i="1"/>
  <c r="D4784" i="1"/>
  <c r="D5389" i="1"/>
  <c r="D547" i="1"/>
  <c r="D8450" i="1"/>
  <c r="D55" i="1"/>
  <c r="D61" i="1"/>
  <c r="D8758" i="1"/>
  <c r="D2959" i="1"/>
  <c r="D3240" i="1"/>
  <c r="D5201" i="1"/>
  <c r="D5429" i="1"/>
  <c r="D4984" i="1"/>
  <c r="D3630" i="1"/>
  <c r="D3059" i="1"/>
  <c r="D5586" i="1"/>
  <c r="D4845" i="1"/>
  <c r="D2275" i="1"/>
  <c r="D3238" i="1"/>
  <c r="D2126" i="1"/>
  <c r="D8020" i="1"/>
  <c r="D5191" i="1"/>
  <c r="D1792" i="1"/>
  <c r="D7712" i="1"/>
  <c r="D5804" i="1"/>
  <c r="D3003" i="1"/>
  <c r="D901" i="1"/>
  <c r="D4031" i="1"/>
  <c r="D4264" i="1"/>
  <c r="D7053" i="1"/>
  <c r="D3657" i="1"/>
  <c r="D4569" i="1"/>
  <c r="D2309" i="1"/>
  <c r="D5903" i="1"/>
  <c r="D416" i="1"/>
  <c r="D4266" i="1"/>
  <c r="D8578" i="1"/>
  <c r="D8355" i="1"/>
  <c r="D1441" i="1"/>
  <c r="D1078" i="1"/>
  <c r="D3356" i="1"/>
  <c r="D4478" i="1"/>
  <c r="D1839" i="1"/>
  <c r="D2010" i="1"/>
  <c r="D7895" i="1"/>
  <c r="D4242" i="1"/>
  <c r="D2015" i="1"/>
  <c r="D1476" i="1"/>
  <c r="D4472" i="1"/>
  <c r="D5977" i="1"/>
  <c r="D679" i="1"/>
  <c r="D3146" i="1"/>
  <c r="D5245" i="1"/>
  <c r="D8242" i="1"/>
  <c r="D4189" i="1"/>
  <c r="D1075" i="1"/>
  <c r="D6373" i="1"/>
  <c r="D5969" i="1"/>
  <c r="D5947" i="1"/>
  <c r="D7270" i="1"/>
  <c r="D4304" i="1"/>
  <c r="D4305" i="1"/>
  <c r="D8424" i="1"/>
  <c r="D492" i="1"/>
  <c r="D475" i="1"/>
  <c r="D6928" i="1"/>
  <c r="D3758" i="1"/>
  <c r="D5018" i="1"/>
  <c r="D954" i="1"/>
  <c r="D6936" i="1"/>
  <c r="D770" i="1"/>
  <c r="D2101" i="1"/>
  <c r="D6868" i="1"/>
  <c r="D1736" i="1"/>
  <c r="D511" i="1"/>
  <c r="D6909" i="1"/>
  <c r="D2832" i="1"/>
  <c r="D171" i="1"/>
  <c r="D6760" i="1"/>
  <c r="D749" i="1"/>
  <c r="D906" i="1"/>
  <c r="D6713" i="1"/>
  <c r="D5138" i="1"/>
  <c r="D4273" i="1"/>
  <c r="D1974" i="1"/>
  <c r="D5174" i="1"/>
  <c r="D8076" i="1"/>
  <c r="D5896" i="1"/>
  <c r="D5215" i="1"/>
  <c r="D4160" i="1"/>
  <c r="D7900" i="1"/>
  <c r="D6592" i="1"/>
  <c r="D8033" i="1"/>
  <c r="D2026" i="1"/>
  <c r="D6463" i="1"/>
  <c r="D4831" i="1"/>
  <c r="D4491" i="1"/>
  <c r="D1737" i="1"/>
  <c r="D3159" i="1"/>
  <c r="D577" i="1"/>
  <c r="D8474" i="1"/>
  <c r="D5779" i="1"/>
  <c r="D7724" i="1"/>
  <c r="D6316" i="1"/>
  <c r="D1629" i="1"/>
  <c r="D4291" i="1"/>
  <c r="D6262" i="1"/>
  <c r="D4763" i="1"/>
  <c r="D5149" i="1"/>
  <c r="D7300" i="1"/>
  <c r="D8016" i="1"/>
  <c r="D8715" i="1"/>
  <c r="D8668" i="1"/>
  <c r="D7823" i="1"/>
  <c r="D2716" i="1"/>
  <c r="D2835" i="1"/>
  <c r="D1760" i="1"/>
  <c r="D1601" i="1"/>
  <c r="D5137" i="1"/>
  <c r="D3900" i="1"/>
  <c r="D6413" i="1"/>
  <c r="D8452" i="1"/>
  <c r="D3397" i="1"/>
  <c r="D2638" i="1"/>
  <c r="D7269" i="1"/>
  <c r="D884" i="1"/>
  <c r="D6888" i="1"/>
  <c r="D1292" i="1"/>
  <c r="D411" i="1"/>
  <c r="D3334" i="1"/>
  <c r="D1809" i="1"/>
  <c r="D4883" i="1"/>
  <c r="D58" i="1"/>
  <c r="D5972" i="1"/>
  <c r="D3280" i="1"/>
  <c r="D8267" i="1"/>
  <c r="D3446" i="1"/>
  <c r="D1834" i="1"/>
  <c r="D5922" i="1"/>
  <c r="D397" i="1"/>
  <c r="D8017" i="1"/>
  <c r="D2233" i="1"/>
  <c r="D5427" i="1"/>
  <c r="D7896" i="1"/>
  <c r="D5005" i="1"/>
  <c r="D8247" i="1"/>
  <c r="D925" i="1"/>
  <c r="D7386" i="1"/>
  <c r="D843" i="1"/>
  <c r="D251" i="1"/>
  <c r="D1004" i="1"/>
  <c r="D7136" i="1"/>
  <c r="D5204" i="1"/>
  <c r="D473" i="1"/>
  <c r="D1182" i="1"/>
  <c r="D5842" i="1"/>
  <c r="D332" i="1"/>
  <c r="D8419" i="1"/>
  <c r="D1202" i="1"/>
  <c r="D2498" i="1"/>
  <c r="D6704" i="1"/>
  <c r="D163" i="1"/>
  <c r="D8565" i="1"/>
  <c r="D5748" i="1"/>
  <c r="D3690" i="1"/>
  <c r="D5673" i="1"/>
  <c r="D8030" i="1"/>
  <c r="D8151" i="1"/>
  <c r="D1002" i="1"/>
  <c r="D7967" i="1"/>
  <c r="D6621" i="1"/>
  <c r="D6013" i="1"/>
  <c r="D595" i="1"/>
  <c r="D233" i="1"/>
  <c r="D1164" i="1"/>
  <c r="D7928" i="1"/>
  <c r="D1546" i="1"/>
  <c r="D2311" i="1"/>
  <c r="D3405" i="1"/>
  <c r="D7395" i="1"/>
  <c r="D5148" i="1"/>
  <c r="D1262" i="1"/>
  <c r="D7403" i="1"/>
  <c r="D5522" i="1"/>
  <c r="D7126" i="1"/>
  <c r="D4960" i="1"/>
  <c r="D5827" i="1"/>
  <c r="D1477" i="1"/>
  <c r="D6877" i="1"/>
  <c r="D4453" i="1"/>
  <c r="D8662" i="1"/>
  <c r="D4667" i="1"/>
  <c r="D5696" i="1"/>
  <c r="D7355" i="1"/>
  <c r="D4697" i="1"/>
  <c r="D7803" i="1"/>
  <c r="D5248" i="1"/>
  <c r="D2384" i="1"/>
  <c r="D3090" i="1"/>
  <c r="D5035" i="1"/>
  <c r="D2726" i="1"/>
  <c r="D244" i="1"/>
  <c r="D5469" i="1"/>
  <c r="D5169" i="1"/>
  <c r="D7163" i="1"/>
  <c r="D7257" i="1"/>
  <c r="D3763" i="1"/>
  <c r="D1329" i="1"/>
  <c r="D1565" i="1"/>
  <c r="D1711" i="1"/>
  <c r="D6618" i="1"/>
  <c r="D2321" i="1"/>
  <c r="D7699" i="1"/>
  <c r="D854" i="1"/>
  <c r="D7168" i="1"/>
  <c r="D5762" i="1"/>
  <c r="D3451" i="1"/>
  <c r="D721" i="1"/>
  <c r="D1913" i="1"/>
  <c r="D4731" i="1"/>
  <c r="D5758" i="1"/>
  <c r="D964" i="1"/>
  <c r="D7790" i="1"/>
  <c r="D8138" i="1"/>
  <c r="D7187" i="1"/>
  <c r="D179" i="1"/>
  <c r="D3867" i="1"/>
  <c r="D162" i="1"/>
  <c r="D1733" i="1"/>
  <c r="D8239" i="1"/>
  <c r="D2481" i="1"/>
  <c r="D3946" i="1"/>
  <c r="D8158" i="1"/>
  <c r="D706" i="1"/>
  <c r="D7984" i="1"/>
  <c r="D7434" i="1"/>
  <c r="D8236" i="1"/>
  <c r="D1919" i="1"/>
  <c r="D3149" i="1"/>
  <c r="D1404" i="1"/>
  <c r="D8231" i="1"/>
  <c r="D5773" i="1"/>
  <c r="D3437" i="1"/>
  <c r="D4553" i="1"/>
  <c r="D6502" i="1"/>
  <c r="D4378" i="1"/>
  <c r="D5291" i="1"/>
  <c r="D1209" i="1"/>
  <c r="D7198" i="1"/>
  <c r="D4113" i="1"/>
  <c r="D4326" i="1"/>
  <c r="D2617" i="1"/>
  <c r="D1219" i="1"/>
  <c r="D5688" i="1"/>
  <c r="D4917" i="1"/>
  <c r="D5614" i="1"/>
  <c r="D7529" i="1"/>
  <c r="D6791" i="1"/>
  <c r="D4077" i="1"/>
  <c r="D6917" i="1"/>
  <c r="D6876" i="1"/>
  <c r="D1150" i="1"/>
  <c r="D7504" i="1"/>
  <c r="D7148" i="1"/>
  <c r="D6361" i="1"/>
  <c r="D926" i="1"/>
  <c r="D8028" i="1"/>
  <c r="D1238" i="1"/>
  <c r="D6442" i="1"/>
  <c r="D7177" i="1"/>
  <c r="D8481" i="1"/>
  <c r="D753" i="1"/>
  <c r="D3432" i="1"/>
  <c r="D4220" i="1"/>
  <c r="D3407" i="1"/>
  <c r="D3823" i="1"/>
  <c r="D3915" i="1"/>
  <c r="D7467" i="1"/>
  <c r="D5720" i="1"/>
  <c r="D6764" i="1"/>
  <c r="D6498" i="1"/>
  <c r="D8697" i="1"/>
  <c r="D1505" i="1"/>
  <c r="D6763" i="1"/>
  <c r="D7627" i="1"/>
  <c r="D4811" i="1"/>
  <c r="D7441" i="1"/>
  <c r="D5732" i="1"/>
  <c r="D2356" i="1"/>
  <c r="D297" i="1"/>
  <c r="D5251" i="1"/>
  <c r="D4931" i="1"/>
  <c r="D5369" i="1"/>
  <c r="D4522" i="1"/>
  <c r="D8126" i="1"/>
  <c r="D6977" i="1"/>
  <c r="D4687" i="1"/>
  <c r="D8709" i="1"/>
  <c r="D952" i="1"/>
  <c r="D7365" i="1"/>
  <c r="D7814" i="1"/>
  <c r="D2440" i="1"/>
  <c r="D8689" i="1"/>
  <c r="D8647" i="1"/>
  <c r="D1376" i="1"/>
  <c r="D2177" i="1"/>
  <c r="D2721" i="1"/>
  <c r="D1442" i="1"/>
  <c r="D4771" i="1"/>
  <c r="D7517" i="1"/>
  <c r="D676" i="1"/>
  <c r="D1520" i="1"/>
  <c r="D3086" i="1"/>
  <c r="D7842" i="1"/>
  <c r="D2762" i="1"/>
  <c r="D5628" i="1"/>
  <c r="D143" i="1"/>
  <c r="D1464" i="1"/>
  <c r="D6216" i="1"/>
  <c r="D7376" i="1"/>
  <c r="D6879" i="1"/>
  <c r="D4977" i="1"/>
  <c r="D7972" i="1"/>
  <c r="D1249" i="1"/>
  <c r="D1235" i="1"/>
  <c r="D2313" i="1"/>
  <c r="D3538" i="1"/>
  <c r="D2442" i="1"/>
  <c r="D5363" i="1"/>
  <c r="D7720" i="1"/>
  <c r="D6940" i="1"/>
  <c r="D4544" i="1"/>
  <c r="D2999" i="1"/>
  <c r="D5533" i="1"/>
  <c r="D5057" i="1"/>
  <c r="D8103" i="1"/>
  <c r="D7008" i="1"/>
  <c r="D8581" i="1"/>
  <c r="D6854" i="1"/>
  <c r="D7521" i="1"/>
  <c r="D6759" i="1"/>
  <c r="D109" i="1"/>
  <c r="D6957" i="1"/>
  <c r="D4715" i="1"/>
  <c r="D2027" i="1"/>
  <c r="D7363" i="1"/>
  <c r="D6692" i="1"/>
  <c r="D226" i="1"/>
  <c r="D348" i="1"/>
  <c r="D493" i="1"/>
  <c r="D3431" i="1"/>
  <c r="D5120" i="1"/>
  <c r="D5738" i="1"/>
  <c r="D7370" i="1"/>
  <c r="D1675" i="1"/>
  <c r="D1205" i="1"/>
  <c r="D3881" i="1"/>
  <c r="D1258" i="1"/>
  <c r="D6454" i="1"/>
  <c r="D4870" i="1"/>
  <c r="D3830" i="1"/>
  <c r="D1571" i="1"/>
  <c r="D158" i="1"/>
  <c r="D3669" i="1"/>
  <c r="D5883" i="1"/>
  <c r="D4708" i="1"/>
  <c r="D503" i="1"/>
  <c r="D5736" i="1"/>
  <c r="D8024" i="1"/>
  <c r="D1785" i="1"/>
  <c r="D5243" i="1"/>
  <c r="D5177" i="1"/>
  <c r="D3301" i="1"/>
  <c r="D4117" i="1"/>
  <c r="D5083" i="1"/>
  <c r="D5054" i="1"/>
  <c r="D2858" i="1"/>
  <c r="D37" i="1"/>
  <c r="D170" i="1"/>
  <c r="D7166" i="1"/>
  <c r="D6786" i="1"/>
  <c r="D562" i="1"/>
  <c r="D1146" i="1"/>
  <c r="D6652" i="1"/>
  <c r="D7748" i="1"/>
  <c r="D3020" i="1"/>
  <c r="D3091" i="1"/>
  <c r="D780" i="1"/>
  <c r="D6450" i="1"/>
  <c r="D1543" i="1"/>
  <c r="D1095" i="1"/>
  <c r="D7671" i="1"/>
  <c r="D645" i="1"/>
  <c r="D7758" i="1"/>
  <c r="D3393" i="1"/>
  <c r="D3433" i="1"/>
  <c r="D3990" i="1"/>
  <c r="D946" i="1"/>
  <c r="D7626" i="1"/>
  <c r="D740" i="1"/>
  <c r="D4952" i="1"/>
  <c r="D1200" i="1"/>
  <c r="D6007" i="1"/>
  <c r="D7345" i="1"/>
  <c r="D3518" i="1"/>
  <c r="D8168" i="1"/>
  <c r="D4023" i="1"/>
  <c r="D2901" i="1"/>
  <c r="D637" i="1"/>
  <c r="D6315" i="1"/>
  <c r="D2364" i="1"/>
  <c r="D2872" i="1"/>
  <c r="D3002" i="1"/>
  <c r="D8369" i="1"/>
  <c r="D6414" i="1"/>
  <c r="D1412" i="1"/>
  <c r="D7442" i="1"/>
  <c r="D2492" i="1"/>
  <c r="D5094" i="1"/>
  <c r="D7629" i="1"/>
  <c r="D6491" i="1"/>
  <c r="D1740" i="1"/>
  <c r="D4705" i="1"/>
  <c r="D3739" i="1"/>
  <c r="D4464" i="1"/>
  <c r="D2489" i="1"/>
  <c r="D5724" i="1"/>
  <c r="D8386" i="1"/>
  <c r="D6707" i="1"/>
  <c r="D777" i="1"/>
  <c r="D502" i="1"/>
  <c r="D7587" i="1"/>
  <c r="D6507" i="1"/>
  <c r="D3188" i="1"/>
  <c r="D3967" i="1"/>
  <c r="D8036" i="1"/>
  <c r="D4131" i="1"/>
  <c r="D7134" i="1"/>
  <c r="D122" i="1"/>
  <c r="D3495" i="1"/>
  <c r="D2432" i="1"/>
  <c r="D7518" i="1"/>
  <c r="D3637" i="1"/>
  <c r="D557" i="1"/>
  <c r="D4804" i="1"/>
  <c r="D4901" i="1"/>
  <c r="D1583" i="1"/>
  <c r="D2733" i="1"/>
  <c r="D389" i="1"/>
  <c r="D6870" i="1"/>
  <c r="D175" i="1"/>
  <c r="D7459" i="1"/>
  <c r="D1021" i="1"/>
  <c r="D7494" i="1"/>
  <c r="D4216" i="1"/>
  <c r="D6256" i="1"/>
  <c r="D10" i="1"/>
  <c r="D6697" i="1"/>
  <c r="D7656" i="1"/>
  <c r="D4796" i="1"/>
  <c r="D7820" i="1"/>
  <c r="D3000" i="1"/>
  <c r="D7500" i="1"/>
  <c r="D4468" i="1"/>
  <c r="D7489" i="1"/>
  <c r="D8590" i="1"/>
  <c r="D7997" i="1"/>
  <c r="D4754" i="1"/>
  <c r="D3152" i="1"/>
  <c r="D1527" i="1"/>
  <c r="D6946" i="1"/>
  <c r="D7621" i="1"/>
  <c r="D3507" i="1"/>
  <c r="D988" i="1"/>
  <c r="D6311" i="1"/>
  <c r="D1488" i="1"/>
  <c r="D3797" i="1"/>
  <c r="D1394" i="1"/>
  <c r="D8536" i="1"/>
  <c r="D1388" i="1"/>
  <c r="D4072" i="1"/>
  <c r="D5946" i="1"/>
  <c r="D419" i="1"/>
  <c r="D2330" i="1"/>
  <c r="D4944" i="1"/>
  <c r="D4110" i="1"/>
  <c r="D4215" i="1"/>
  <c r="D6594" i="1"/>
  <c r="D4964" i="1"/>
  <c r="D8651" i="1"/>
  <c r="D774" i="1"/>
  <c r="D7616" i="1"/>
  <c r="D8393" i="1"/>
  <c r="D585" i="1"/>
  <c r="D7527" i="1"/>
  <c r="D6563" i="1"/>
  <c r="D4577" i="1"/>
  <c r="D1047" i="1"/>
  <c r="D7750" i="1"/>
  <c r="D4001" i="1"/>
  <c r="D2753" i="1"/>
  <c r="D2301" i="1"/>
  <c r="D6691" i="1"/>
  <c r="D5974" i="1"/>
  <c r="D3973" i="1"/>
  <c r="D1985" i="1"/>
  <c r="D8022" i="1"/>
  <c r="D8570" i="1"/>
  <c r="D227" i="1"/>
  <c r="D8438" i="1"/>
  <c r="D91" i="1"/>
  <c r="D4936" i="1"/>
  <c r="D5975" i="1"/>
  <c r="D4932" i="1"/>
  <c r="D7326" i="1"/>
  <c r="D7324" i="1"/>
  <c r="D7325" i="1"/>
  <c r="D4096" i="1"/>
  <c r="D7327" i="1"/>
  <c r="D8018" i="1"/>
  <c r="D6838" i="1"/>
  <c r="D3068" i="1"/>
  <c r="D6824" i="1"/>
  <c r="D6056" i="1"/>
  <c r="D5114" i="1"/>
  <c r="D6825" i="1"/>
  <c r="D5275" i="1"/>
  <c r="D6009" i="1"/>
  <c r="D6900" i="1"/>
  <c r="D6962" i="1"/>
  <c r="D5767" i="1"/>
  <c r="D6608" i="1"/>
  <c r="D6048" i="1"/>
  <c r="D8008" i="1"/>
  <c r="D8677" i="1"/>
  <c r="D8281" i="1"/>
  <c r="D64" i="1"/>
  <c r="D3067" i="1"/>
  <c r="D7" i="1"/>
  <c r="D2485" i="1"/>
  <c r="D6189" i="1"/>
  <c r="D4549" i="1"/>
  <c r="D5206" i="1"/>
  <c r="D6241" i="1"/>
  <c r="D2910" i="1"/>
  <c r="D5630" i="1"/>
  <c r="D5871" i="1"/>
  <c r="D4539" i="1"/>
  <c r="D1098" i="1"/>
  <c r="D1551" i="1"/>
  <c r="D8435" i="1"/>
  <c r="D6490" i="1"/>
  <c r="D6218" i="1"/>
  <c r="D7705" i="1"/>
  <c r="D8172" i="1"/>
  <c r="D6836" i="1"/>
  <c r="D4208" i="1"/>
  <c r="D5286" i="1"/>
  <c r="D6170" i="1"/>
  <c r="D7013" i="1"/>
  <c r="D6961" i="1"/>
  <c r="D4443" i="1"/>
  <c r="D6800" i="1"/>
  <c r="D8294" i="1"/>
  <c r="D5151" i="1"/>
  <c r="D6963" i="1"/>
  <c r="D4245" i="1"/>
  <c r="D7042" i="1"/>
  <c r="D7932" i="1"/>
  <c r="D4244" i="1"/>
  <c r="D2377" i="1"/>
  <c r="D6057" i="1"/>
  <c r="D5624" i="1"/>
  <c r="D5132" i="1"/>
  <c r="D6203" i="1"/>
  <c r="D8488" i="1"/>
  <c r="D6960" i="1"/>
  <c r="D8432" i="1"/>
  <c r="D6584" i="1"/>
  <c r="D3494" i="1"/>
  <c r="D409" i="1"/>
  <c r="D6959" i="1"/>
  <c r="D4246" i="1"/>
  <c r="D62" i="1"/>
  <c r="D8678" i="1"/>
  <c r="D4172" i="1"/>
  <c r="D13" i="1"/>
  <c r="D5026" i="1"/>
  <c r="D1100" i="1"/>
  <c r="D5247" i="1"/>
  <c r="D4260" i="1"/>
  <c r="D3141" i="1"/>
  <c r="D8110" i="1"/>
  <c r="D5214" i="1"/>
  <c r="D6357" i="1"/>
  <c r="D8094" i="1"/>
  <c r="D3730" i="1"/>
  <c r="D3198" i="1"/>
  <c r="D8257" i="1"/>
  <c r="D1534" i="1"/>
  <c r="D5881" i="1"/>
  <c r="D90" i="1"/>
  <c r="D451" i="1"/>
  <c r="D7368" i="1"/>
  <c r="D7133" i="1"/>
  <c r="D4251" i="1"/>
  <c r="D8436" i="1"/>
  <c r="D2502" i="1"/>
  <c r="D3902" i="1"/>
  <c r="D2501" i="1"/>
  <c r="D4609" i="1"/>
  <c r="D4608" i="1"/>
  <c r="D4934" i="1"/>
  <c r="D4937" i="1"/>
  <c r="D4933" i="1"/>
  <c r="D2381" i="1"/>
  <c r="D7093" i="1"/>
  <c r="D7933" i="1"/>
  <c r="D8686" i="1"/>
  <c r="D1034" i="1"/>
  <c r="D8434" i="1"/>
  <c r="D4108" i="1"/>
  <c r="D2911" i="1"/>
  <c r="D3305" i="1"/>
  <c r="D5991" i="1"/>
  <c r="D7120" i="1"/>
  <c r="D8705" i="1"/>
  <c r="D8679" i="1"/>
  <c r="D8439" i="1"/>
  <c r="D4940" i="1"/>
  <c r="D5952" i="1"/>
  <c r="D5287" i="1"/>
  <c r="D3922" i="1"/>
  <c r="D7479" i="1"/>
  <c r="D8431" i="1"/>
  <c r="D7482" i="1"/>
  <c r="D66" i="1"/>
  <c r="D1144" i="1"/>
  <c r="D5851" i="1"/>
  <c r="D8483" i="1"/>
  <c r="D3943" i="1"/>
  <c r="D3265" i="1"/>
  <c r="D8710" i="1"/>
  <c r="D6259" i="1"/>
  <c r="D8610" i="1"/>
  <c r="D164" i="1"/>
  <c r="D151" i="1"/>
  <c r="D5102" i="1"/>
  <c r="D8639" i="1"/>
  <c r="D6551" i="1"/>
  <c r="D2140" i="1"/>
  <c r="D5534" i="1"/>
  <c r="D3615" i="1"/>
  <c r="D1695" i="1"/>
  <c r="D3849" i="1"/>
  <c r="D7515" i="1"/>
  <c r="D6296" i="1"/>
  <c r="D3639" i="1"/>
  <c r="D5116" i="1"/>
  <c r="D1059" i="1"/>
  <c r="D6549" i="1"/>
  <c r="D1585" i="1"/>
  <c r="D6307" i="1"/>
  <c r="D7449" i="1"/>
  <c r="D180" i="1"/>
  <c r="D4271" i="1"/>
  <c r="D6173" i="1"/>
  <c r="D8276" i="1"/>
  <c r="D2650" i="1"/>
  <c r="D258" i="1"/>
  <c r="D7342" i="1"/>
  <c r="D2608" i="1"/>
  <c r="D6924" i="1"/>
  <c r="D7224" i="1"/>
  <c r="D1917" i="1"/>
  <c r="D1843" i="1"/>
  <c r="D570" i="1"/>
  <c r="D5182" i="1"/>
  <c r="D7825" i="1"/>
  <c r="D3202" i="1"/>
  <c r="D6197" i="1"/>
  <c r="D3109" i="1"/>
  <c r="D7936" i="1"/>
  <c r="D5984" i="1"/>
  <c r="D7937" i="1"/>
  <c r="D3170" i="1"/>
  <c r="D2862" i="1"/>
  <c r="D1035" i="1"/>
  <c r="D5609" i="1"/>
  <c r="D2351" i="1"/>
  <c r="D3892" i="1"/>
  <c r="D6614" i="1"/>
  <c r="D7804" i="1"/>
  <c r="D1171" i="1"/>
  <c r="D2776" i="1"/>
  <c r="D7588" i="1"/>
  <c r="D1958" i="1"/>
  <c r="D5166" i="1"/>
  <c r="D715" i="1"/>
  <c r="D4479" i="1"/>
  <c r="D5887" i="1"/>
  <c r="D4290" i="1"/>
  <c r="D6715" i="1"/>
  <c r="D618" i="1"/>
  <c r="D1547" i="1"/>
  <c r="D2989" i="1"/>
  <c r="D6367" i="1"/>
  <c r="D6603" i="1"/>
  <c r="D5907" i="1"/>
  <c r="D7725" i="1"/>
  <c r="D245" i="1"/>
  <c r="D837" i="1"/>
  <c r="D838" i="1"/>
  <c r="D3562" i="1"/>
  <c r="D2569" i="1"/>
  <c r="D1270" i="1"/>
  <c r="D7407" i="1"/>
  <c r="D7830" i="1"/>
  <c r="D1063" i="1"/>
  <c r="D8518" i="1"/>
  <c r="D1091" i="1"/>
  <c r="D3618" i="1"/>
  <c r="D1692" i="1"/>
  <c r="D3567" i="1"/>
  <c r="D1666" i="1"/>
  <c r="D4612" i="1"/>
  <c r="D5241" i="1"/>
  <c r="D174" i="1"/>
  <c r="D6125" i="1"/>
  <c r="D8425" i="1"/>
  <c r="D6283" i="1"/>
  <c r="D7943" i="1"/>
  <c r="D2507" i="1"/>
  <c r="D5517" i="1"/>
  <c r="D5561" i="1"/>
  <c r="D1212" i="1"/>
  <c r="D1704" i="1"/>
  <c r="D5089" i="1"/>
  <c r="D5092" i="1"/>
  <c r="D8685" i="1"/>
  <c r="D5143" i="1"/>
  <c r="D892" i="1"/>
  <c r="D789" i="1"/>
  <c r="D4085" i="1"/>
  <c r="D1198" i="1"/>
  <c r="D6777" i="1"/>
  <c r="D6816" i="1"/>
  <c r="D52" i="1"/>
  <c r="D2149" i="1"/>
  <c r="D7040" i="1"/>
  <c r="D2544" i="1"/>
  <c r="D3416" i="1"/>
  <c r="D4210" i="1"/>
  <c r="D6470" i="1"/>
  <c r="D4877" i="1"/>
  <c r="D5682" i="1"/>
  <c r="D5921" i="1"/>
  <c r="D5227" i="1"/>
  <c r="D5003" i="1"/>
  <c r="D2933" i="1"/>
  <c r="D3332" i="1"/>
  <c r="D4197" i="1"/>
  <c r="D8612" i="1"/>
  <c r="D860" i="1"/>
  <c r="D39" i="1"/>
  <c r="D8040" i="1"/>
  <c r="D6460" i="1"/>
  <c r="D4284" i="1"/>
  <c r="D4121" i="1"/>
  <c r="D2614" i="1"/>
  <c r="D5580" i="1"/>
  <c r="D4473" i="1"/>
  <c r="D2855" i="1"/>
  <c r="D452" i="1"/>
  <c r="D4844" i="1"/>
  <c r="D3443" i="1"/>
  <c r="D42" i="1"/>
  <c r="D6330" i="1"/>
  <c r="D4498" i="1"/>
  <c r="D5606" i="1"/>
  <c r="D4285" i="1"/>
  <c r="D6358" i="1"/>
  <c r="D5620" i="1"/>
  <c r="D638" i="1"/>
  <c r="D8755" i="1"/>
  <c r="D6981" i="1"/>
  <c r="D2210" i="1"/>
  <c r="D4735" i="1"/>
  <c r="D6471" i="1"/>
  <c r="D4786" i="1"/>
  <c r="D8123" i="1"/>
  <c r="D48" i="1"/>
  <c r="D5181" i="1"/>
  <c r="D1134" i="1"/>
  <c r="D4317" i="1"/>
  <c r="D7904" i="1"/>
  <c r="D4183" i="1"/>
  <c r="D2350" i="1"/>
  <c r="D4254" i="1"/>
  <c r="D4286" i="1"/>
  <c r="D1132" i="1"/>
  <c r="D3989" i="1"/>
  <c r="D8577" i="1"/>
  <c r="D8165" i="1"/>
  <c r="D1829" i="1"/>
  <c r="D8607" i="1"/>
  <c r="D2132" i="1"/>
  <c r="D5279" i="1"/>
  <c r="D309" i="1"/>
  <c r="D4904" i="1"/>
  <c r="D7964" i="1"/>
  <c r="D1681" i="1"/>
  <c r="D1810" i="1"/>
  <c r="D2792" i="1"/>
  <c r="D4082" i="1"/>
  <c r="D5000" i="1"/>
  <c r="D8229" i="1"/>
  <c r="D522" i="1"/>
  <c r="D3953" i="1"/>
  <c r="D3766" i="1"/>
  <c r="D35" i="1"/>
  <c r="D5899" i="1"/>
  <c r="D5194" i="1"/>
  <c r="D4150" i="1"/>
  <c r="D3558" i="1"/>
  <c r="D6377" i="1"/>
  <c r="D2213" i="1"/>
  <c r="D8357" i="1"/>
  <c r="D4846" i="1"/>
  <c r="D4314" i="1"/>
  <c r="D7201" i="1"/>
  <c r="D8728" i="1"/>
  <c r="D4280" i="1"/>
  <c r="D4320" i="1"/>
  <c r="D829" i="1"/>
  <c r="D8422" i="1"/>
  <c r="D6328" i="1"/>
  <c r="D567" i="1"/>
  <c r="D3404" i="1"/>
  <c r="D1768" i="1"/>
  <c r="D1557" i="1"/>
  <c r="D3753" i="1"/>
  <c r="D4574" i="1"/>
  <c r="D4590" i="1"/>
  <c r="D6245" i="1"/>
  <c r="D2870" i="1"/>
  <c r="D8497" i="1"/>
  <c r="D8048" i="1"/>
  <c r="D2935" i="1"/>
  <c r="D43" i="1"/>
  <c r="D4188" i="1"/>
  <c r="D7691" i="1"/>
  <c r="D2401" i="1"/>
  <c r="D3270" i="1"/>
  <c r="D1618" i="1"/>
  <c r="D4627" i="1"/>
  <c r="D8034" i="1"/>
  <c r="D4736" i="1"/>
  <c r="D3333" i="1"/>
  <c r="D1646" i="1"/>
  <c r="D1794" i="1"/>
  <c r="D628" i="1"/>
  <c r="D2225" i="1"/>
  <c r="D36" i="1"/>
  <c r="D8049" i="1"/>
  <c r="D6261" i="1"/>
  <c r="D2137" i="1"/>
  <c r="D4885" i="1"/>
  <c r="D6564" i="1"/>
  <c r="D8505" i="1"/>
  <c r="D3631" i="1"/>
  <c r="D5616" i="1"/>
  <c r="D935" i="1"/>
  <c r="D1588" i="1"/>
  <c r="D5901" i="1"/>
  <c r="D835" i="1"/>
  <c r="D8414" i="1"/>
  <c r="D1762" i="1"/>
  <c r="D3442" i="1"/>
  <c r="D2175" i="1"/>
  <c r="D390" i="1"/>
  <c r="D2256" i="1"/>
  <c r="D3628" i="1"/>
  <c r="D8423" i="1"/>
  <c r="D3760" i="1"/>
  <c r="D2434" i="1"/>
  <c r="D5352" i="1"/>
  <c r="D8167" i="1"/>
  <c r="D1652" i="1"/>
  <c r="D7607" i="1"/>
  <c r="D49" i="1"/>
  <c r="D5681" i="1"/>
  <c r="D3136" i="1"/>
  <c r="D5710" i="1"/>
  <c r="D2028" i="1"/>
  <c r="D5258" i="1"/>
  <c r="D8752" i="1"/>
  <c r="D629" i="1"/>
  <c r="D5686" i="1"/>
  <c r="D6255" i="1"/>
  <c r="D3988" i="1"/>
  <c r="D47" i="1"/>
  <c r="D7374" i="1"/>
  <c r="D330" i="1"/>
  <c r="D1805" i="1"/>
  <c r="D5213" i="1"/>
  <c r="D1831" i="1"/>
  <c r="D3339" i="1"/>
  <c r="D6716" i="1"/>
  <c r="D8576" i="1"/>
  <c r="D4202" i="1"/>
  <c r="D2368" i="1"/>
  <c r="D8300" i="1"/>
  <c r="D4993" i="1"/>
  <c r="D3642" i="1"/>
  <c r="D2306" i="1"/>
  <c r="D2735" i="1"/>
  <c r="D5932" i="1"/>
  <c r="D1024" i="1"/>
  <c r="D3403" i="1"/>
  <c r="D7765" i="1"/>
  <c r="D3444" i="1"/>
  <c r="D2319" i="1"/>
  <c r="D1162" i="1"/>
  <c r="D8039" i="1"/>
  <c r="D1338" i="1"/>
  <c r="D6268" i="1"/>
  <c r="D8409" i="1"/>
  <c r="D4855" i="1"/>
  <c r="D94" i="1"/>
  <c r="D2291" i="1"/>
  <c r="D4773" i="1"/>
  <c r="D4830" i="1"/>
  <c r="D2815" i="1"/>
  <c r="D1586" i="1"/>
  <c r="D2007" i="1"/>
  <c r="D8614" i="1"/>
  <c r="D6675" i="1"/>
  <c r="D4856" i="1"/>
  <c r="D5186" i="1"/>
  <c r="D3060" i="1"/>
  <c r="D3757" i="1"/>
  <c r="D2227" i="1"/>
  <c r="D1566" i="1"/>
  <c r="D2128" i="1"/>
  <c r="D2678" i="1"/>
  <c r="D1635" i="1"/>
  <c r="D4470" i="1"/>
  <c r="D2100" i="1"/>
  <c r="D1568" i="1"/>
  <c r="D8506" i="1"/>
  <c r="D4087" i="1"/>
  <c r="D4283" i="1"/>
  <c r="D8421" i="1"/>
  <c r="D8352" i="1"/>
  <c r="D1026" i="1"/>
  <c r="D4115" i="1"/>
  <c r="D2159" i="1"/>
  <c r="D2134" i="1"/>
  <c r="D1519" i="1"/>
  <c r="D1277" i="1"/>
  <c r="D1608" i="1"/>
  <c r="D3037" i="1"/>
  <c r="D4279" i="1"/>
  <c r="D3375" i="1"/>
  <c r="D2297" i="1"/>
  <c r="D1504" i="1"/>
  <c r="D6517" i="1"/>
  <c r="D8114" i="1"/>
  <c r="D3848" i="1"/>
  <c r="D2232" i="1"/>
  <c r="D3503" i="1"/>
  <c r="D6598" i="1"/>
  <c r="D583" i="1"/>
  <c r="D5979" i="1"/>
  <c r="D3991" i="1"/>
  <c r="D7272" i="1"/>
  <c r="D5757" i="1"/>
  <c r="D2234" i="1"/>
  <c r="D4997" i="1"/>
  <c r="D3966" i="1"/>
  <c r="D2266" i="1"/>
  <c r="D4104" i="1"/>
  <c r="D3345" i="1"/>
  <c r="D2399" i="1"/>
  <c r="D6417" i="1"/>
  <c r="D4325" i="1"/>
  <c r="D3346" i="1"/>
  <c r="D558" i="1"/>
  <c r="D7271" i="1"/>
  <c r="D7636" i="1"/>
  <c r="D8364" i="1"/>
  <c r="D2324" i="1"/>
  <c r="D4294" i="1"/>
  <c r="D8078" i="1"/>
  <c r="D5601" i="1"/>
  <c r="D6842" i="1"/>
  <c r="D1784" i="1"/>
  <c r="D470" i="1"/>
  <c r="D6774" i="1"/>
  <c r="D8503" i="1"/>
  <c r="D784" i="1"/>
  <c r="D4203" i="1"/>
  <c r="D6317" i="1"/>
  <c r="D550" i="1"/>
  <c r="D6668" i="1"/>
  <c r="D6233" i="1"/>
  <c r="D6312" i="1"/>
  <c r="D6461" i="1"/>
  <c r="D5197" i="1"/>
  <c r="D6020" i="1"/>
  <c r="D2058" i="1"/>
  <c r="D5195" i="1"/>
  <c r="D8324" i="1"/>
  <c r="D580" i="1"/>
  <c r="D3350" i="1"/>
  <c r="D6979" i="1"/>
  <c r="D2322" i="1"/>
  <c r="D3036" i="1"/>
  <c r="D2737" i="1"/>
  <c r="D50" i="1"/>
  <c r="D4105" i="1"/>
  <c r="D4316" i="1"/>
  <c r="D4379" i="1"/>
  <c r="D6933" i="1"/>
  <c r="D3225" i="1"/>
  <c r="D4572" i="1"/>
  <c r="D8120" i="1"/>
  <c r="D3150" i="1"/>
  <c r="D5923" i="1"/>
  <c r="D2179" i="1"/>
  <c r="D2731" i="1"/>
  <c r="D4036" i="1"/>
  <c r="D7948" i="1"/>
  <c r="D724" i="1"/>
  <c r="D4233" i="1"/>
  <c r="D3224" i="1"/>
  <c r="D337" i="1"/>
  <c r="D307" i="1"/>
  <c r="D664" i="1"/>
  <c r="D5958" i="1"/>
  <c r="D4123" i="1"/>
  <c r="D3024" i="1"/>
  <c r="D2323" i="1"/>
  <c r="D6403" i="1"/>
  <c r="D1492" i="1"/>
  <c r="D4415" i="1"/>
  <c r="D775" i="1"/>
  <c r="D6817" i="1"/>
  <c r="D1766" i="1"/>
  <c r="D8064" i="1"/>
  <c r="D6937" i="1"/>
  <c r="D3843" i="1"/>
  <c r="D2139" i="1"/>
  <c r="D8467" i="1"/>
  <c r="D4840" i="1"/>
  <c r="D5925" i="1"/>
  <c r="D8260" i="1"/>
  <c r="D1946" i="1"/>
  <c r="D4310" i="1"/>
  <c r="D1511" i="1"/>
  <c r="D4235" i="1"/>
  <c r="D2899" i="1"/>
  <c r="D7019" i="1"/>
  <c r="D5831" i="1"/>
  <c r="D2315" i="1"/>
  <c r="D5188" i="1"/>
  <c r="D5942" i="1"/>
  <c r="D5023" i="1"/>
  <c r="D2145" i="1"/>
  <c r="D8115" i="1"/>
  <c r="D431" i="1"/>
  <c r="D6342" i="1"/>
  <c r="D6230" i="1"/>
  <c r="D3440" i="1"/>
  <c r="D7664" i="1"/>
  <c r="D5911" i="1"/>
  <c r="D1813" i="1"/>
  <c r="D7685" i="1"/>
  <c r="D398" i="1"/>
  <c r="D41" i="1"/>
  <c r="D3978" i="1"/>
  <c r="D1183" i="1"/>
  <c r="D3348" i="1"/>
  <c r="D6402" i="1"/>
  <c r="D4992" i="1"/>
  <c r="D6225" i="1"/>
  <c r="D2725" i="1"/>
  <c r="D5948" i="1"/>
  <c r="D8256" i="1"/>
  <c r="D510" i="1"/>
  <c r="D5934" i="1"/>
  <c r="D4542" i="1"/>
  <c r="D3527" i="1"/>
  <c r="D6440" i="1"/>
  <c r="D2816" i="1"/>
  <c r="D1491" i="1"/>
  <c r="D1493" i="1"/>
  <c r="D1189" i="1"/>
  <c r="D1353" i="1"/>
  <c r="D406" i="1"/>
  <c r="D6903" i="1"/>
  <c r="D7259" i="1"/>
  <c r="D6995" i="1"/>
  <c r="D5249" i="1"/>
  <c r="D4015" i="1"/>
  <c r="D6380" i="1"/>
  <c r="D8351" i="1"/>
  <c r="D6175" i="1"/>
  <c r="D573" i="1"/>
  <c r="D3755" i="1"/>
  <c r="D3264" i="1"/>
  <c r="D5392" i="1"/>
  <c r="D2029" i="1"/>
  <c r="D3314" i="1"/>
  <c r="D722" i="1"/>
  <c r="D46" i="1"/>
  <c r="D6622" i="1"/>
  <c r="D5968" i="1"/>
  <c r="D8268" i="1"/>
  <c r="D8" i="1"/>
  <c r="D161" i="1"/>
  <c r="D1609" i="1"/>
  <c r="D2674" i="1"/>
  <c r="D2723" i="1"/>
  <c r="D4878" i="1"/>
  <c r="D6812" i="1"/>
  <c r="D2066" i="1"/>
  <c r="D5244" i="1"/>
  <c r="D6371" i="1"/>
  <c r="D2279" i="1"/>
  <c r="D5689" i="1"/>
  <c r="D1587" i="1"/>
  <c r="D8149" i="1"/>
  <c r="D2800" i="1"/>
  <c r="D6559" i="1"/>
  <c r="D8719" i="1"/>
  <c r="D3833" i="1"/>
  <c r="D3501" i="1"/>
  <c r="D308" i="1"/>
  <c r="D2941" i="1"/>
  <c r="D1744" i="1"/>
  <c r="D4034" i="1"/>
  <c r="D2059" i="1"/>
  <c r="D3587" i="1"/>
  <c r="D3528" i="1"/>
  <c r="D3145" i="1"/>
  <c r="D5667" i="1"/>
  <c r="D4249" i="1"/>
  <c r="D6174" i="1"/>
  <c r="D3484" i="1"/>
  <c r="D7251" i="1"/>
  <c r="D2680" i="1"/>
  <c r="D4342" i="1"/>
  <c r="D5938" i="1"/>
  <c r="D5184" i="1"/>
  <c r="D1840" i="1"/>
  <c r="D6415" i="1"/>
  <c r="D8756" i="1"/>
  <c r="D8173" i="1"/>
  <c r="D6300" i="1"/>
  <c r="D8511" i="1"/>
  <c r="D5651" i="1"/>
  <c r="D8082" i="1"/>
  <c r="D5440" i="1"/>
  <c r="D3652" i="1"/>
  <c r="D1194" i="1"/>
  <c r="D4480" i="1"/>
  <c r="D667" i="1"/>
  <c r="D4835" i="1"/>
  <c r="D6430" i="1"/>
  <c r="D1636" i="1"/>
  <c r="D4258" i="1"/>
  <c r="D2205" i="1"/>
  <c r="D5945" i="1"/>
  <c r="D5354" i="1"/>
  <c r="D5196" i="1"/>
  <c r="D4052" i="1"/>
  <c r="D86" i="1"/>
  <c r="D6555" i="1"/>
  <c r="D5623" i="1"/>
  <c r="D5970" i="1"/>
  <c r="D6" i="1"/>
  <c r="D1756" i="1"/>
  <c r="D5929" i="1"/>
  <c r="D2310" i="1"/>
  <c r="D8558" i="1"/>
  <c r="D1159" i="1"/>
  <c r="D2300" i="1"/>
  <c r="D1289" i="1"/>
  <c r="D8509" i="1"/>
  <c r="D8492" i="1"/>
  <c r="D8541" i="1"/>
  <c r="D905" i="1"/>
  <c r="D7039" i="1"/>
  <c r="D2099" i="1"/>
  <c r="D6761" i="1"/>
  <c r="D5981" i="1"/>
  <c r="D4801" i="1"/>
  <c r="D1549" i="1"/>
  <c r="D6332" i="1"/>
  <c r="D5877" i="1"/>
  <c r="D8654" i="1"/>
  <c r="D3400" i="1"/>
  <c r="D1781" i="1"/>
  <c r="D2011" i="1"/>
  <c r="D5963" i="1"/>
  <c r="D6489" i="1"/>
  <c r="D3773" i="1"/>
  <c r="D3748" i="1"/>
  <c r="D2262" i="1"/>
  <c r="D2298" i="1"/>
  <c r="D2998" i="1"/>
  <c r="D7643" i="1"/>
  <c r="D4190" i="1"/>
  <c r="D8299" i="1"/>
  <c r="D8112" i="1"/>
  <c r="D857" i="1"/>
  <c r="D7020" i="1"/>
  <c r="D5680" i="1"/>
  <c r="D8345" i="1"/>
  <c r="D2550" i="1"/>
  <c r="D6894" i="1"/>
  <c r="D6762" i="1"/>
  <c r="D5940" i="1"/>
  <c r="D4308" i="1"/>
  <c r="D8575" i="1"/>
  <c r="D5944" i="1"/>
  <c r="D4843" i="1"/>
  <c r="D936" i="1"/>
  <c r="D425" i="1"/>
  <c r="D4999" i="1"/>
  <c r="D3626" i="1"/>
  <c r="D6775" i="1"/>
  <c r="D8050" i="1"/>
  <c r="D762" i="1"/>
  <c r="D8278" i="1"/>
  <c r="D3365" i="1"/>
  <c r="D5021" i="1"/>
  <c r="D4594" i="1"/>
  <c r="D1624" i="1"/>
  <c r="D6967" i="1"/>
  <c r="D3242" i="1"/>
  <c r="D4868" i="1"/>
  <c r="D306" i="1"/>
  <c r="D8759" i="1"/>
  <c r="D2116" i="1"/>
  <c r="D5920" i="1"/>
  <c r="D642" i="1"/>
  <c r="D1999" i="1"/>
  <c r="D3651" i="1"/>
  <c r="D6882" i="1"/>
  <c r="D1658" i="1"/>
  <c r="D1467" i="1"/>
  <c r="D1393" i="1"/>
  <c r="D1347" i="1"/>
  <c r="D5173" i="1"/>
  <c r="D1424" i="1"/>
  <c r="D6304" i="1"/>
  <c r="D6265" i="1"/>
  <c r="D4591" i="1"/>
  <c r="D2653" i="1"/>
  <c r="D1494" i="1"/>
  <c r="D620" i="1"/>
  <c r="D6674" i="1"/>
  <c r="D1987" i="1"/>
  <c r="D7683" i="1"/>
  <c r="D7299" i="1"/>
  <c r="D5760" i="1"/>
  <c r="D6412" i="1"/>
  <c r="D1321" i="1"/>
  <c r="D6176" i="1"/>
  <c r="D1928" i="1"/>
  <c r="D894" i="1"/>
  <c r="D6599" i="1"/>
  <c r="D7794" i="1"/>
  <c r="D5924" i="1"/>
  <c r="D6269" i="1"/>
  <c r="D7068" i="1"/>
  <c r="D2993" i="1"/>
  <c r="D5030" i="1"/>
  <c r="D1077" i="1"/>
  <c r="D8744" i="1"/>
  <c r="D6177" i="1"/>
  <c r="D8482" i="1"/>
  <c r="D8045" i="1"/>
  <c r="D6231" i="1"/>
  <c r="D6472" i="1"/>
  <c r="D5556" i="1"/>
  <c r="D4124" i="1"/>
  <c r="D7180" i="1"/>
  <c r="D4469" i="1"/>
  <c r="D3005" i="1"/>
  <c r="D1742" i="1"/>
  <c r="D490" i="1"/>
  <c r="D1468" i="1"/>
  <c r="D3718" i="1"/>
  <c r="D5835" i="1"/>
  <c r="D5834" i="1"/>
  <c r="D680" i="1"/>
  <c r="D3829" i="1"/>
  <c r="D7807" i="1"/>
  <c r="D1325" i="1"/>
  <c r="D507" i="1"/>
  <c r="D4928" i="1"/>
  <c r="D4939" i="1"/>
  <c r="D2713" i="1"/>
  <c r="D2711" i="1"/>
  <c r="D4946" i="1"/>
  <c r="D3806" i="1"/>
  <c r="D3851" i="1"/>
  <c r="D4859" i="1"/>
  <c r="D2983" i="1"/>
  <c r="D5585" i="1"/>
  <c r="D695" i="1"/>
  <c r="D6714" i="1"/>
  <c r="D8671" i="1"/>
  <c r="D2418" i="1"/>
  <c r="D694" i="1"/>
  <c r="D1300" i="1"/>
  <c r="D3173" i="1"/>
  <c r="D7038" i="1"/>
  <c r="D4119" i="1"/>
  <c r="D165" i="1"/>
  <c r="D7757" i="1"/>
  <c r="D3045" i="1"/>
  <c r="D7713" i="1"/>
  <c r="D8316" i="1"/>
  <c r="D150" i="1"/>
  <c r="D5442" i="1"/>
  <c r="D6352" i="1"/>
  <c r="D8457" i="1"/>
  <c r="D4217" i="1"/>
  <c r="D8317" i="1"/>
  <c r="D7867" i="1"/>
  <c r="D7610" i="1"/>
  <c r="D3166" i="1"/>
  <c r="D4177" i="1"/>
  <c r="D1007" i="1"/>
  <c r="D8318" i="1"/>
  <c r="D8618" i="1"/>
  <c r="D2264" i="1"/>
  <c r="D8640" i="1"/>
  <c r="D6829" i="1"/>
  <c r="D8670" i="1"/>
  <c r="D3693" i="1"/>
  <c r="D4688" i="1"/>
  <c r="D871" i="1"/>
  <c r="D7731" i="1"/>
  <c r="D696" i="1"/>
  <c r="D6500" i="1"/>
  <c r="D3185" i="1"/>
  <c r="D6389" i="1"/>
  <c r="D4098" i="1"/>
  <c r="D4454" i="1"/>
  <c r="D5364" i="1"/>
  <c r="D6264" i="1"/>
  <c r="D8539" i="1"/>
  <c r="D4523" i="1"/>
  <c r="D4181" i="1"/>
  <c r="D3454" i="1"/>
  <c r="D3142" i="1"/>
  <c r="D8133" i="1"/>
  <c r="D5888" i="1"/>
  <c r="D7801" i="1"/>
  <c r="D5524" i="1"/>
  <c r="D4369" i="1"/>
  <c r="D4428" i="1"/>
  <c r="D4507" i="1"/>
  <c r="D4494" i="1"/>
  <c r="D1340" i="1"/>
  <c r="D5328" i="1"/>
  <c r="D4981" i="1"/>
  <c r="D4958" i="1"/>
  <c r="D4381" i="1"/>
  <c r="D4690" i="1"/>
  <c r="D7654" i="1"/>
  <c r="D8588" i="1"/>
  <c r="D8549" i="1"/>
  <c r="D4383" i="1"/>
  <c r="D1089" i="1"/>
  <c r="D3168" i="1"/>
  <c r="D3729" i="1"/>
  <c r="D4986" i="1"/>
  <c r="D7004" i="1"/>
  <c r="D1864" i="1"/>
  <c r="D5777" i="1"/>
  <c r="D8552" i="1"/>
  <c r="D322" i="1"/>
  <c r="D7435" i="1"/>
  <c r="D2613" i="1"/>
  <c r="D3343" i="1"/>
  <c r="D8628" i="1"/>
  <c r="D2250" i="1"/>
  <c r="D2376" i="1"/>
  <c r="D8283" i="1"/>
  <c r="D8627" i="1"/>
  <c r="D6516" i="1"/>
  <c r="D16" i="1"/>
  <c r="D7015" i="1"/>
  <c r="D400" i="1"/>
  <c r="D6462" i="1"/>
  <c r="D404" i="1"/>
  <c r="D6529" i="1"/>
  <c r="D4237" i="1"/>
  <c r="D5223" i="1"/>
  <c r="D4606" i="1"/>
  <c r="D3081" i="1"/>
  <c r="D4531" i="1"/>
  <c r="D707" i="1"/>
  <c r="D7677" i="1"/>
  <c r="D6254" i="1"/>
  <c r="D7028" i="1"/>
  <c r="D5826" i="1"/>
  <c r="D3392" i="1"/>
  <c r="D7147" i="1"/>
  <c r="D3468" i="1"/>
  <c r="D3747" i="1"/>
  <c r="D6286" i="1"/>
  <c r="D1430" i="1"/>
  <c r="D3850" i="1"/>
  <c r="D3599" i="1"/>
  <c r="D4852" i="1"/>
  <c r="D2343" i="1"/>
  <c r="D3129" i="1"/>
  <c r="D8356" i="1"/>
  <c r="D8692" i="1"/>
  <c r="D7396" i="1"/>
  <c r="D2821" i="1"/>
  <c r="D4405" i="1"/>
  <c r="D5159" i="1"/>
  <c r="D6484" i="1"/>
  <c r="D7436" i="1"/>
  <c r="D7452" i="1"/>
  <c r="D8555" i="1"/>
  <c r="D7397" i="1"/>
  <c r="D3125" i="1"/>
  <c r="D8534" i="1"/>
  <c r="D5187" i="1"/>
  <c r="D1480" i="1"/>
  <c r="D7749" i="1"/>
  <c r="D3798" i="1"/>
  <c r="D8622" i="1"/>
  <c r="D7766" i="1"/>
  <c r="D7662" i="1"/>
  <c r="D7707" i="1"/>
  <c r="D4640" i="1"/>
  <c r="D6251" i="1"/>
  <c r="D1156" i="1"/>
  <c r="D4749" i="1"/>
  <c r="D3827" i="1"/>
  <c r="D3682" i="1"/>
  <c r="D1516" i="1"/>
  <c r="D6429" i="1"/>
  <c r="D117" i="1"/>
  <c r="D893" i="1"/>
  <c r="D206" i="1"/>
  <c r="D1191" i="1"/>
  <c r="D3523" i="1"/>
  <c r="D4135" i="1"/>
  <c r="D5608" i="1"/>
  <c r="D1957" i="1"/>
  <c r="D3542" i="1"/>
  <c r="D3056" i="1"/>
  <c r="D5343" i="1"/>
  <c r="D1184" i="1"/>
  <c r="D2471" i="1"/>
  <c r="D111" i="1"/>
  <c r="D169" i="1"/>
  <c r="D7819" i="1"/>
  <c r="D5322" i="1"/>
  <c r="D4391" i="1"/>
  <c r="D7767" i="1"/>
  <c r="D3566" i="1"/>
  <c r="D2918" i="1"/>
  <c r="D2283" i="1"/>
  <c r="D5112" i="1"/>
  <c r="D6833" i="1"/>
  <c r="D7660" i="1"/>
  <c r="D8561" i="1"/>
  <c r="D5755" i="1"/>
  <c r="D6880" i="1"/>
  <c r="D3950" i="1"/>
  <c r="D2500" i="1"/>
  <c r="D2491" i="1"/>
  <c r="D6015" i="1"/>
  <c r="D5872" i="1"/>
  <c r="D1555" i="1"/>
  <c r="D2477" i="1"/>
  <c r="D4426" i="1"/>
  <c r="D5674" i="1"/>
  <c r="D7620" i="1"/>
  <c r="D2413" i="1"/>
  <c r="D3500" i="1"/>
  <c r="D192" i="1"/>
  <c r="D7194" i="1"/>
  <c r="D1154" i="1"/>
  <c r="D1165" i="1"/>
  <c r="D8091" i="1"/>
  <c r="D436" i="1"/>
  <c r="D7899" i="1"/>
  <c r="D4425" i="1"/>
  <c r="D472" i="1"/>
  <c r="D2794" i="1"/>
  <c r="D1148" i="1"/>
  <c r="D5735" i="1"/>
  <c r="D7793" i="1"/>
  <c r="D7759" i="1"/>
  <c r="D992" i="1"/>
  <c r="D5704" i="1"/>
  <c r="D7381" i="1"/>
  <c r="D7570" i="1"/>
  <c r="D6263" i="1"/>
  <c r="D7383" i="1"/>
  <c r="D3862" i="1"/>
  <c r="D2907" i="1"/>
  <c r="D6861" i="1"/>
  <c r="D4112" i="1"/>
  <c r="D7579" i="1"/>
  <c r="D8365" i="1"/>
  <c r="D3366" i="1"/>
  <c r="D6637" i="1"/>
  <c r="D4712" i="1"/>
  <c r="D7145" i="1"/>
  <c r="D4048" i="1"/>
  <c r="D97" i="1"/>
  <c r="D7977" i="1"/>
  <c r="D7083" i="1"/>
  <c r="D7773" i="1"/>
  <c r="D399" i="1"/>
  <c r="D3688" i="1"/>
  <c r="D6521" i="1"/>
  <c r="D8636" i="1"/>
  <c r="D4449" i="1"/>
  <c r="D3535" i="1"/>
  <c r="D2077" i="1"/>
  <c r="D6485" i="1"/>
  <c r="D2155" i="1"/>
  <c r="D5621" i="1"/>
  <c r="D4205" i="1"/>
  <c r="D1020" i="1"/>
  <c r="D6601" i="1"/>
  <c r="D2965" i="1"/>
  <c r="D5312" i="1"/>
  <c r="D5849" i="1"/>
  <c r="D7032" i="1"/>
  <c r="D2255" i="1"/>
  <c r="D1345" i="1"/>
  <c r="D5874" i="1"/>
  <c r="D8645" i="1"/>
  <c r="D3126" i="1"/>
  <c r="D6202" i="1"/>
  <c r="D2745" i="1"/>
  <c r="D4847" i="1"/>
  <c r="D2284" i="1"/>
  <c r="D5532" i="1"/>
  <c r="D1952" i="1"/>
  <c r="D5879" i="1"/>
  <c r="D6426" i="1"/>
  <c r="D6772" i="1"/>
  <c r="D537" i="1"/>
  <c r="D8658" i="1"/>
  <c r="D5771" i="1"/>
  <c r="D5445" i="1"/>
  <c r="D2490" i="1"/>
  <c r="D963" i="1"/>
  <c r="D1643" i="1"/>
  <c r="D4374" i="1"/>
  <c r="D4292" i="1"/>
  <c r="D3276" i="1"/>
  <c r="D692" i="1"/>
  <c r="D1356" i="1"/>
  <c r="D5400" i="1"/>
  <c r="D4200" i="1"/>
  <c r="D8350" i="1"/>
  <c r="D4309" i="1"/>
  <c r="D1955" i="1"/>
  <c r="D677" i="1"/>
  <c r="D4347" i="1"/>
  <c r="D5694" i="1"/>
  <c r="D2610" i="1"/>
  <c r="D907" i="1"/>
  <c r="D7858" i="1"/>
  <c r="D1976" i="1"/>
  <c r="D2773" i="1"/>
  <c r="D3208" i="1"/>
  <c r="D1998" i="1"/>
  <c r="D2060" i="1"/>
  <c r="D2098" i="1"/>
  <c r="D5678" i="1"/>
  <c r="D6349" i="1"/>
  <c r="D8675" i="1"/>
  <c r="D3596" i="1"/>
  <c r="D2587" i="1"/>
  <c r="D981" i="1"/>
  <c r="D4805" i="1"/>
  <c r="D3711" i="1"/>
  <c r="D1560" i="1"/>
  <c r="D8761" i="1"/>
  <c r="D1381" i="1"/>
  <c r="D3834" i="1"/>
  <c r="D7603" i="1"/>
  <c r="D5964" i="1"/>
  <c r="D1012" i="1"/>
  <c r="D5729" i="1"/>
  <c r="D1613" i="1"/>
  <c r="D7944" i="1"/>
  <c r="D2353" i="1"/>
  <c r="D7264" i="1"/>
  <c r="D1569" i="1"/>
  <c r="D3464" i="1"/>
  <c r="D6944" i="1"/>
  <c r="D1890" i="1"/>
  <c r="D7838" i="1"/>
  <c r="D4691" i="1"/>
  <c r="D1358" i="1"/>
  <c r="D1644" i="1"/>
  <c r="D870" i="1"/>
  <c r="D4503" i="1"/>
  <c r="D8413" i="1"/>
  <c r="D1721" i="1"/>
  <c r="D5313" i="1"/>
  <c r="D2848" i="1"/>
  <c r="D5663" i="1"/>
  <c r="D8253" i="1"/>
  <c r="D2385" i="1"/>
  <c r="D1833" i="1"/>
  <c r="D4806" i="1"/>
  <c r="D8416" i="1"/>
  <c r="D6694" i="1"/>
  <c r="D5619" i="1"/>
  <c r="D413" i="1"/>
  <c r="D1954" i="1"/>
  <c r="D3163" i="1"/>
  <c r="D2842" i="1"/>
  <c r="D2212" i="1"/>
  <c r="D4081" i="1"/>
  <c r="D6211" i="1"/>
  <c r="D4384" i="1"/>
  <c r="D3222" i="1"/>
  <c r="D3752" i="1"/>
  <c r="D836" i="1"/>
  <c r="D8273" i="1"/>
  <c r="D1709" i="1"/>
  <c r="D2173" i="1"/>
  <c r="D4942" i="1"/>
  <c r="D2898" i="1"/>
  <c r="D3998" i="1"/>
  <c r="D3237" i="1"/>
  <c r="D1558" i="1"/>
  <c r="D1655" i="1"/>
  <c r="D7144" i="1"/>
  <c r="D2003" i="1"/>
  <c r="D5374" i="1"/>
  <c r="D2888" i="1"/>
  <c r="D2668" i="1"/>
  <c r="D8471" i="1"/>
  <c r="D6237" i="1"/>
  <c r="D4769" i="1"/>
  <c r="D3487" i="1"/>
  <c r="D6978" i="1"/>
  <c r="D4103" i="1"/>
  <c r="D909" i="1"/>
  <c r="D4178" i="1"/>
  <c r="D2037" i="1"/>
  <c r="D5338" i="1"/>
  <c r="D4396" i="1"/>
  <c r="D6663" i="1"/>
  <c r="D538" i="1"/>
  <c r="D2086" i="1"/>
  <c r="D4390" i="1"/>
  <c r="D8584" i="1"/>
  <c r="D8061" i="1"/>
  <c r="D2374" i="1"/>
  <c r="D154" i="1"/>
  <c r="D1484" i="1"/>
  <c r="D1844" i="1"/>
  <c r="D2557" i="1"/>
  <c r="D1723" i="1"/>
  <c r="D4298" i="1"/>
  <c r="D4155" i="1"/>
  <c r="D1961" i="1"/>
  <c r="D8213" i="1"/>
  <c r="D899" i="1"/>
  <c r="D4375" i="1"/>
  <c r="D5683" i="1"/>
  <c r="D8258" i="1"/>
  <c r="D4321" i="1"/>
  <c r="D5432" i="1"/>
  <c r="D4376" i="1"/>
  <c r="D7680" i="1"/>
  <c r="D7693" i="1"/>
  <c r="D1525" i="1"/>
  <c r="D446" i="1"/>
  <c r="D4486" i="1"/>
  <c r="D5403" i="1"/>
  <c r="D5892" i="1"/>
  <c r="D802" i="1"/>
  <c r="D6986" i="1"/>
  <c r="D7998" i="1"/>
  <c r="D1500" i="1"/>
  <c r="D4328" i="1"/>
  <c r="D1798" i="1"/>
  <c r="D7141" i="1"/>
  <c r="D7132" i="1"/>
  <c r="D671" i="1"/>
  <c r="D1825" i="1"/>
  <c r="D6420" i="1"/>
  <c r="D6606" i="1"/>
  <c r="D2586" i="1"/>
  <c r="D4908" i="1"/>
  <c r="D1517" i="1"/>
  <c r="D4174" i="1"/>
  <c r="D3557" i="1"/>
  <c r="D8429" i="1"/>
  <c r="D7744" i="1"/>
  <c r="D6623" i="1"/>
  <c r="D5772" i="1"/>
  <c r="D1043" i="1"/>
  <c r="D99" i="1"/>
  <c r="D3335" i="1"/>
  <c r="D8469" i="1"/>
  <c r="D2113" i="1"/>
  <c r="D5025" i="1"/>
  <c r="D1631" i="1"/>
  <c r="D6556" i="1"/>
  <c r="D1891" i="1"/>
  <c r="D3478" i="1"/>
  <c r="D2202" i="1"/>
  <c r="D6929" i="1"/>
  <c r="D1169" i="1"/>
  <c r="D1688" i="1"/>
  <c r="D224" i="1"/>
  <c r="D4422" i="1"/>
  <c r="D2337" i="1"/>
  <c r="D2004" i="1"/>
  <c r="D1553" i="1"/>
  <c r="D5648" i="1"/>
  <c r="D5990" i="1"/>
  <c r="D3098" i="1"/>
  <c r="D8157" i="1"/>
  <c r="D5733" i="1"/>
  <c r="D4186" i="1"/>
  <c r="D7602" i="1"/>
  <c r="D1981" i="1"/>
  <c r="D4125" i="1"/>
  <c r="D4230" i="1"/>
  <c r="D4536" i="1"/>
  <c r="D1515" i="1"/>
  <c r="D1832" i="1"/>
  <c r="D4962" i="1"/>
  <c r="D4599" i="1"/>
  <c r="D2123" i="1"/>
  <c r="D2380" i="1"/>
  <c r="D8245" i="1"/>
  <c r="D4666" i="1"/>
  <c r="D4873" i="1"/>
  <c r="D1309" i="1"/>
  <c r="D2812" i="1"/>
  <c r="D5100" i="1"/>
  <c r="D7585" i="1"/>
  <c r="D8473" i="1"/>
  <c r="D7314" i="1"/>
  <c r="D1783" i="1"/>
  <c r="D6935" i="1"/>
  <c r="D3716" i="1"/>
  <c r="D2958" i="1"/>
  <c r="D1590" i="1"/>
  <c r="D7781" i="1"/>
  <c r="D3521" i="1"/>
  <c r="D2470" i="1"/>
  <c r="D4483" i="1"/>
  <c r="D7774" i="1"/>
  <c r="D8392" i="1"/>
  <c r="D1193" i="1"/>
  <c r="D4232" i="1"/>
  <c r="D8124" i="1"/>
  <c r="D6210" i="1"/>
  <c r="D8071" i="1"/>
  <c r="D4564" i="1"/>
  <c r="D3486" i="1"/>
  <c r="D6465" i="1"/>
  <c r="D2404" i="1"/>
  <c r="D6447" i="1"/>
  <c r="D3244" i="1"/>
  <c r="D6014" i="1"/>
  <c r="D4607" i="1"/>
  <c r="D2549" i="1"/>
  <c r="D1016" i="1"/>
  <c r="D1808" i="1"/>
  <c r="D4794" i="1"/>
  <c r="D6982" i="1"/>
  <c r="D1799" i="1"/>
  <c r="D1196" i="1"/>
  <c r="D4158" i="1"/>
  <c r="D3648" i="1"/>
  <c r="D4154" i="1"/>
  <c r="D6378" i="1"/>
  <c r="D3302" i="1"/>
  <c r="D2951" i="1"/>
  <c r="D262" i="1"/>
  <c r="D6272" i="1"/>
  <c r="D4089" i="1"/>
  <c r="D8725" i="1"/>
  <c r="D6718" i="1"/>
  <c r="D8733" i="1"/>
  <c r="D855" i="1"/>
  <c r="D3548" i="1"/>
  <c r="D4393" i="1"/>
  <c r="D7491" i="1"/>
  <c r="D1639" i="1"/>
  <c r="D3589" i="1"/>
  <c r="D7733" i="1"/>
  <c r="D2207" i="1"/>
  <c r="D2252" i="1"/>
  <c r="D1627" i="1"/>
  <c r="D3634" i="1"/>
  <c r="D5803" i="1"/>
  <c r="D2936" i="1"/>
  <c r="D7371" i="1"/>
  <c r="D887" i="1"/>
  <c r="D2932" i="1"/>
  <c r="D4822" i="1"/>
  <c r="D3327" i="1"/>
  <c r="D2097" i="1"/>
  <c r="D5240" i="1"/>
  <c r="D990" i="1"/>
  <c r="D4448" i="1"/>
  <c r="D3342" i="1"/>
  <c r="D6987" i="1"/>
  <c r="D1129" i="1"/>
  <c r="D8398" i="1"/>
  <c r="D2461" i="1"/>
  <c r="D2462" i="1"/>
  <c r="D4270" i="1"/>
  <c r="D7860" i="1"/>
  <c r="D889" i="1"/>
  <c r="D5546" i="1"/>
  <c r="D5900" i="1"/>
  <c r="D1610" i="1"/>
  <c r="D483" i="1"/>
  <c r="D7676" i="1"/>
  <c r="D5270" i="1"/>
  <c r="D1902" i="1"/>
  <c r="D8664" i="1"/>
  <c r="D6734" i="1"/>
  <c r="D1962" i="1"/>
  <c r="D2012" i="1"/>
  <c r="D1966" i="1"/>
  <c r="D5302" i="1"/>
  <c r="D3021" i="1"/>
  <c r="D2763" i="1"/>
  <c r="D2112" i="1"/>
  <c r="D1689" i="1"/>
  <c r="D1529" i="1"/>
  <c r="D4327" i="1"/>
  <c r="D8297" i="1"/>
  <c r="D2347" i="1"/>
  <c r="D2107" i="1"/>
  <c r="D2320" i="1"/>
  <c r="D7018" i="1"/>
  <c r="D2754" i="1"/>
  <c r="D4520" i="1"/>
  <c r="D2079" i="1"/>
  <c r="D2133" i="1"/>
  <c r="D6869" i="1"/>
  <c r="D4118" i="1"/>
  <c r="D8288" i="1"/>
  <c r="D2666" i="1"/>
  <c r="D6229" i="1"/>
  <c r="D2433" i="1"/>
  <c r="D2542" i="1"/>
  <c r="D8706" i="1"/>
  <c r="D3477" i="1"/>
  <c r="D8591" i="1"/>
  <c r="D5659" i="1"/>
  <c r="D2908" i="1"/>
  <c r="D1791" i="1"/>
  <c r="D4579" i="1"/>
  <c r="D6634" i="1"/>
  <c r="D1888" i="1"/>
  <c r="D3022" i="1"/>
  <c r="D6745" i="1"/>
  <c r="D1910" i="1"/>
  <c r="D6337" i="1"/>
  <c r="D3216" i="1"/>
  <c r="D4512" i="1"/>
  <c r="D8580" i="1"/>
  <c r="D8263" i="1"/>
  <c r="D6370" i="1"/>
  <c r="D7232" i="1"/>
  <c r="D5859" i="1"/>
  <c r="D5873" i="1"/>
  <c r="D6683" i="1"/>
  <c r="D8009" i="1"/>
  <c r="D2115" i="1"/>
  <c r="D2144" i="1"/>
  <c r="D3479" i="1"/>
  <c r="D3645" i="1"/>
  <c r="D7037" i="1"/>
  <c r="D2231" i="1"/>
  <c r="D3209" i="1"/>
  <c r="D3469" i="1"/>
  <c r="D5261" i="1"/>
  <c r="D3326" i="1"/>
  <c r="D4853" i="1"/>
  <c r="D897" i="1"/>
  <c r="D2411" i="1"/>
  <c r="D2122" i="1"/>
  <c r="D2166" i="1"/>
  <c r="D6983" i="1"/>
  <c r="D3131" i="1"/>
  <c r="D3324" i="1"/>
  <c r="D7514" i="1"/>
  <c r="D5978" i="1"/>
  <c r="D1628" i="1"/>
  <c r="D6410" i="1"/>
  <c r="D621" i="1"/>
  <c r="D412" i="1"/>
  <c r="D1892" i="1"/>
  <c r="D8279" i="1"/>
  <c r="D7949" i="1"/>
  <c r="D8320" i="1"/>
  <c r="D8629" i="1"/>
  <c r="D4116" i="1"/>
  <c r="D3936" i="1"/>
  <c r="D2057" i="1"/>
  <c r="D563" i="1"/>
  <c r="D569" i="1"/>
  <c r="D7687" i="1"/>
  <c r="D3347" i="1"/>
  <c r="D4671" i="1"/>
  <c r="D4487" i="1"/>
  <c r="D2741" i="1"/>
  <c r="D5136" i="1"/>
  <c r="D3681" i="1"/>
  <c r="D8734" i="1"/>
  <c r="D5916" i="1"/>
  <c r="D1793" i="1"/>
  <c r="D7706" i="1"/>
  <c r="D3498" i="1"/>
  <c r="D6662" i="1"/>
  <c r="D6743" i="1"/>
  <c r="D6984" i="1"/>
  <c r="D8526" i="1"/>
  <c r="D2584" i="1"/>
  <c r="D1986" i="1"/>
  <c r="D3941" i="1"/>
  <c r="D3832" i="1"/>
  <c r="D5311" i="1"/>
  <c r="D1577" i="1"/>
  <c r="D2558" i="1"/>
  <c r="D4872" i="1"/>
  <c r="D3777" i="1"/>
  <c r="D1626" i="1"/>
  <c r="D4352" i="1"/>
  <c r="D3299" i="1"/>
  <c r="D8730" i="1"/>
  <c r="D6411" i="1"/>
  <c r="D5257" i="1"/>
  <c r="D4297" i="1"/>
  <c r="D3390" i="1"/>
  <c r="D8418" i="1"/>
  <c r="D2191" i="1"/>
  <c r="D8440" i="1"/>
  <c r="D1574" i="1"/>
  <c r="D7884" i="1"/>
  <c r="D1887" i="1"/>
  <c r="D339" i="1"/>
  <c r="D1739" i="1"/>
  <c r="D4501" i="1"/>
  <c r="D4148" i="1"/>
  <c r="D3512" i="1"/>
  <c r="D7690" i="1"/>
  <c r="D1897" i="1"/>
  <c r="D7617" i="1"/>
  <c r="D4820" i="1"/>
  <c r="D5983" i="1"/>
  <c r="D4854" i="1"/>
  <c r="D7484" i="1"/>
  <c r="D8465" i="1"/>
  <c r="D4420" i="1"/>
  <c r="D1107" i="1"/>
  <c r="D1271" i="1"/>
  <c r="D7859" i="1"/>
  <c r="D3213" i="1"/>
  <c r="D1814" i="1"/>
  <c r="D1204" i="1"/>
  <c r="D8062" i="1"/>
  <c r="D4743" i="1"/>
  <c r="D869" i="1"/>
  <c r="D1167" i="1"/>
  <c r="D68" i="1"/>
  <c r="D4514" i="1"/>
  <c r="D6537" i="1"/>
  <c r="D141" i="1"/>
  <c r="D7205" i="1"/>
  <c r="D4255" i="1"/>
  <c r="D5001" i="1"/>
  <c r="D3251" i="1"/>
  <c r="D5935" i="1"/>
  <c r="D4745" i="1"/>
  <c r="D4011" i="1"/>
  <c r="D3643" i="1"/>
  <c r="D2267" i="1"/>
  <c r="D2271" i="1"/>
  <c r="D216" i="1"/>
  <c r="D7477" i="1"/>
  <c r="D2273" i="1"/>
  <c r="D4580" i="1"/>
  <c r="D1770" i="1"/>
  <c r="D1401" i="1"/>
  <c r="D5378" i="1"/>
  <c r="D3116" i="1"/>
  <c r="D639" i="1"/>
  <c r="D5139" i="1"/>
  <c r="D3380" i="1"/>
  <c r="D2567" i="1"/>
  <c r="D17" i="1"/>
  <c r="D3944" i="1"/>
  <c r="D7618" i="1"/>
  <c r="D6560" i="1"/>
  <c r="D25" i="1"/>
  <c r="D4207" i="1"/>
  <c r="D1109" i="1"/>
  <c r="D4164" i="1"/>
  <c r="D5982" i="1"/>
  <c r="D4788" i="1"/>
  <c r="D3472" i="1"/>
  <c r="D5646" i="1"/>
  <c r="D8713" i="1"/>
  <c r="D2778" i="1"/>
  <c r="D1837" i="1"/>
  <c r="D1775" i="1"/>
  <c r="D6856" i="1"/>
  <c r="D1354" i="1"/>
  <c r="D8560" i="1"/>
  <c r="D3303" i="1"/>
  <c r="D3837" i="1"/>
  <c r="D2612" i="1"/>
  <c r="D7821" i="1"/>
  <c r="D6344" i="1"/>
  <c r="D2540" i="1"/>
  <c r="D5706" i="1"/>
  <c r="D3235" i="1"/>
  <c r="D23" i="1"/>
  <c r="D22" i="1"/>
  <c r="D2370" i="1"/>
  <c r="D1612" i="1"/>
  <c r="D2061" i="1"/>
  <c r="D4848" i="1"/>
  <c r="D3549" i="1"/>
  <c r="D2002" i="1"/>
  <c r="D3550" i="1"/>
  <c r="D6396" i="1"/>
  <c r="D8656" i="1"/>
  <c r="D1779" i="1"/>
  <c r="D7689" i="1"/>
  <c r="D4565" i="1"/>
  <c r="D19" i="1"/>
  <c r="D4171" i="1"/>
  <c r="D2081" i="1"/>
  <c r="D96" i="1"/>
  <c r="D5861" i="1"/>
  <c r="D3360" i="1"/>
  <c r="D8700" i="1"/>
  <c r="D1406" i="1"/>
  <c r="D898" i="1"/>
  <c r="D7046" i="1"/>
  <c r="D4821" i="1"/>
  <c r="D4076" i="1"/>
  <c r="D4256" i="1"/>
  <c r="D5216" i="1"/>
  <c r="D7913" i="1"/>
  <c r="D24" i="1"/>
  <c r="D1341" i="1"/>
  <c r="D3325" i="1"/>
  <c r="D4157" i="1"/>
  <c r="D4173" i="1"/>
  <c r="D4259" i="1"/>
  <c r="D20" i="1"/>
  <c r="D3695" i="1"/>
  <c r="D3515" i="1"/>
  <c r="D4365" i="1"/>
  <c r="D6538" i="1"/>
  <c r="D6350" i="1"/>
  <c r="D3078" i="1"/>
  <c r="D21" i="1"/>
  <c r="D8712" i="1"/>
  <c r="D4742" i="1"/>
  <c r="D7834" i="1"/>
  <c r="D4191" i="1"/>
  <c r="D8405" i="1"/>
  <c r="D6535" i="1"/>
  <c r="D2352" i="1"/>
  <c r="D2715" i="1"/>
  <c r="D5746" i="1"/>
  <c r="D2141" i="1"/>
  <c r="D2220" i="1"/>
  <c r="D515" i="1"/>
  <c r="D69" i="1"/>
  <c r="D248" i="1"/>
  <c r="D3075" i="1"/>
  <c r="D335" i="1"/>
  <c r="D2681" i="1"/>
  <c r="D3996" i="1"/>
  <c r="D2634" i="1"/>
  <c r="D6612" i="1"/>
  <c r="D3128" i="1"/>
  <c r="D2839" i="1"/>
  <c r="D2293" i="1"/>
  <c r="D6260" i="1"/>
  <c r="D1713" i="1"/>
  <c r="D6837" i="1"/>
  <c r="D3475" i="1"/>
  <c r="D7992" i="1"/>
  <c r="D6526" i="1"/>
  <c r="D3822" i="1"/>
  <c r="D5699" i="1"/>
  <c r="D6860" i="1"/>
  <c r="D1489" i="1"/>
  <c r="D7736" i="1"/>
  <c r="D3975" i="1"/>
  <c r="D4631" i="1"/>
  <c r="D8487" i="1"/>
  <c r="D1188" i="1"/>
  <c r="D8674" i="1"/>
  <c r="D7909" i="1"/>
  <c r="D5939" i="1"/>
  <c r="D1444" i="1"/>
  <c r="D1231" i="1"/>
  <c r="D6172" i="1"/>
  <c r="D3384" i="1"/>
  <c r="D5347" i="1"/>
  <c r="D7729" i="1"/>
  <c r="D3415" i="1"/>
  <c r="D8142" i="1"/>
  <c r="D867" i="1"/>
  <c r="D6297" i="1"/>
  <c r="D8349" i="1"/>
  <c r="D3590" i="1"/>
  <c r="D54" i="1"/>
  <c r="D572" i="1"/>
  <c r="D1054" i="1"/>
  <c r="D1053" i="1"/>
  <c r="D1431" i="1"/>
  <c r="D4623" i="1"/>
  <c r="D5019" i="1"/>
  <c r="D6659" i="1"/>
  <c r="D6493" i="1"/>
  <c r="D1523" i="1"/>
  <c r="D1734" i="1"/>
  <c r="D3269" i="1"/>
  <c r="D3585" i="1"/>
  <c r="D8754" i="1"/>
  <c r="D3329" i="1"/>
  <c r="D417" i="1"/>
  <c r="D8571" i="1"/>
  <c r="D4528" i="1"/>
  <c r="D3653" i="1"/>
  <c r="D5602" i="1"/>
  <c r="D40" i="1"/>
  <c r="D1969" i="1"/>
  <c r="D3151" i="1"/>
  <c r="D6930" i="1"/>
  <c r="D1548" i="1"/>
  <c r="D5012" i="1"/>
  <c r="D38" i="1"/>
  <c r="D270" i="1"/>
  <c r="D228" i="1"/>
  <c r="D4998" i="1"/>
  <c r="D6651" i="1"/>
  <c r="D1495" i="1"/>
  <c r="D1606" i="1"/>
  <c r="D878" i="1"/>
  <c r="D2257" i="1"/>
  <c r="D678" i="1"/>
  <c r="D8574" i="1"/>
  <c r="D8060" i="1"/>
  <c r="D3214" i="1"/>
  <c r="D316" i="1"/>
  <c r="D5198" i="1"/>
  <c r="D7642" i="1"/>
  <c r="D5719" i="1"/>
  <c r="D2017" i="1"/>
  <c r="D5415" i="1"/>
  <c r="D6574" i="1"/>
  <c r="D6258" i="1"/>
  <c r="D3445" i="1"/>
  <c r="D2102" i="1"/>
  <c r="D8265" i="1"/>
  <c r="D51" i="1"/>
  <c r="D4533" i="1"/>
  <c r="D1964" i="1"/>
  <c r="D8572" i="1"/>
  <c r="D5914" i="1"/>
  <c r="D3161" i="1"/>
  <c r="D1903" i="1"/>
  <c r="D6701" i="1"/>
  <c r="D187" i="1"/>
  <c r="D7149" i="1"/>
  <c r="D3714" i="1"/>
  <c r="D1764" i="1"/>
  <c r="D3919" i="1"/>
  <c r="D7249" i="1"/>
  <c r="D534" i="1"/>
  <c r="D7031" i="1"/>
  <c r="D350" i="1"/>
  <c r="D4238" i="1"/>
  <c r="D3678" i="1"/>
  <c r="D4300" i="1"/>
  <c r="D5789" i="1"/>
  <c r="D7454" i="1"/>
  <c r="D4988" i="1"/>
  <c r="D7601" i="1"/>
  <c r="D1506" i="1"/>
  <c r="D3236" i="1"/>
  <c r="D3358" i="1"/>
  <c r="D6985" i="1"/>
  <c r="D3474" i="1"/>
  <c r="D237" i="1"/>
  <c r="D7894" i="1"/>
  <c r="D5875" i="1"/>
  <c r="D575" i="1"/>
  <c r="D5246" i="1"/>
  <c r="D3534" i="1"/>
  <c r="D138" i="1"/>
  <c r="D5404" i="1"/>
  <c r="D932" i="1"/>
  <c r="D8055" i="1"/>
  <c r="D7554" i="1"/>
  <c r="D2831" i="1"/>
  <c r="D2606" i="1"/>
  <c r="D4989" i="1"/>
  <c r="D2304" i="1"/>
  <c r="D3675" i="1"/>
  <c r="D6050" i="1"/>
  <c r="D3661" i="1"/>
  <c r="D7354" i="1"/>
  <c r="D1758" i="1"/>
  <c r="D3948" i="1"/>
  <c r="D4165" i="1"/>
  <c r="D2648" i="1"/>
  <c r="D5836" i="1"/>
  <c r="D2615" i="1"/>
  <c r="D80" i="1"/>
  <c r="D4184" i="1"/>
  <c r="D5256" i="1"/>
  <c r="D6684" i="1"/>
  <c r="D6443" i="1"/>
  <c r="D873" i="1"/>
  <c r="D5401" i="1"/>
  <c r="D181" i="1"/>
  <c r="D8264" i="1"/>
  <c r="D5430" i="1"/>
  <c r="D3373" i="1"/>
  <c r="D2276" i="1"/>
  <c r="D3905" i="1"/>
  <c r="D6680" i="1"/>
  <c r="D1085" i="1"/>
  <c r="D2863" i="1"/>
  <c r="D7181" i="1"/>
  <c r="D4344" i="1"/>
  <c r="D3084" i="1"/>
  <c r="D3893" i="1"/>
  <c r="D1938" i="1"/>
  <c r="D5756" i="1"/>
  <c r="D3619" i="1"/>
  <c r="D2430" i="1"/>
  <c r="D2228" i="1"/>
  <c r="D8514" i="1"/>
  <c r="D714" i="1"/>
  <c r="D376" i="1"/>
  <c r="D6796" i="1"/>
  <c r="D1335" i="1"/>
  <c r="D2699" i="1"/>
  <c r="D1334" i="1"/>
  <c r="D481" i="1"/>
  <c r="D1272" i="1"/>
  <c r="D3935" i="1"/>
  <c r="D5778" i="1"/>
  <c r="D4126" i="1"/>
  <c r="D6666" i="1"/>
  <c r="D7478" i="1"/>
  <c r="D5269" i="1"/>
  <c r="D4267" i="1"/>
  <c r="D8554" i="1"/>
  <c r="D4502" i="1"/>
  <c r="D3105" i="1"/>
  <c r="D5043" i="1"/>
  <c r="D6382" i="1"/>
  <c r="D238" i="1"/>
  <c r="D7686" i="1"/>
  <c r="D4861" i="1"/>
  <c r="D8556" i="1"/>
  <c r="D1499" i="1"/>
  <c r="D1405" i="1"/>
  <c r="D7288" i="1"/>
  <c r="D2206" i="1"/>
  <c r="D2268" i="1"/>
  <c r="D8362" i="1"/>
  <c r="D5147" i="1"/>
  <c r="D750" i="1"/>
  <c r="D4985" i="1"/>
  <c r="D2767" i="1"/>
  <c r="D3672" i="1"/>
  <c r="D3080" i="1"/>
  <c r="D5848" i="1"/>
  <c r="D1386" i="1"/>
  <c r="D8246" i="1"/>
  <c r="D1475" i="1"/>
  <c r="D4739" i="1"/>
  <c r="D4000" i="1"/>
  <c r="D3267" i="1"/>
  <c r="D5506" i="1"/>
  <c r="D6012" i="1"/>
  <c r="D8175" i="1"/>
  <c r="D5812" i="1"/>
  <c r="D6999" i="1"/>
  <c r="D4138" i="1"/>
  <c r="D1521" i="1"/>
  <c r="D2270" i="1"/>
  <c r="D5457" i="1"/>
  <c r="D5131" i="1"/>
  <c r="D5470" i="1"/>
  <c r="D2387" i="1"/>
  <c r="D1827" i="1"/>
  <c r="D6243" i="1"/>
  <c r="D8701" i="1"/>
  <c r="D2078" i="1"/>
  <c r="D4974" i="1"/>
  <c r="D464" i="1"/>
  <c r="D4274" i="1"/>
  <c r="D5713" i="1"/>
  <c r="D5130" i="1"/>
  <c r="D1415" i="1"/>
  <c r="D5985" i="1"/>
  <c r="D6539" i="1"/>
  <c r="D2423" i="1"/>
  <c r="D7669" i="1"/>
  <c r="D5383" i="1"/>
  <c r="D1450" i="1"/>
  <c r="D4721" i="1"/>
  <c r="D741" i="1"/>
  <c r="D3614" i="1"/>
  <c r="D5443" i="1"/>
  <c r="D3004" i="1"/>
  <c r="D7918" i="1"/>
  <c r="D2582" i="1"/>
  <c r="D6406" i="1"/>
  <c r="D4195" i="1"/>
  <c r="D4704" i="1"/>
  <c r="D1372" i="1"/>
  <c r="D442" i="1"/>
  <c r="D4799" i="1"/>
  <c r="D1667" i="1"/>
  <c r="D4044" i="1"/>
  <c r="D18" i="1"/>
  <c r="D4417" i="1"/>
  <c r="D4302" i="1"/>
  <c r="D3995" i="1"/>
  <c r="D142" i="1"/>
  <c r="D7468" i="1"/>
  <c r="D3879" i="1"/>
  <c r="D8632" i="1"/>
  <c r="D5858" i="1"/>
  <c r="D2272" i="1"/>
  <c r="D8277" i="1"/>
  <c r="D5766" i="1"/>
  <c r="D2402" i="1"/>
  <c r="D7245" i="1"/>
  <c r="D3259" i="1"/>
  <c r="D7966" i="1"/>
  <c r="D5405" i="1"/>
  <c r="D6029" i="1"/>
  <c r="D1088" i="1"/>
  <c r="D5480" i="1"/>
  <c r="D3106" i="1"/>
  <c r="D8218" i="1"/>
  <c r="D8214" i="1"/>
  <c r="D811" i="1"/>
  <c r="D817" i="1"/>
  <c r="D818" i="1"/>
  <c r="D1900" i="1"/>
  <c r="D8222" i="1"/>
  <c r="D8186" i="1"/>
  <c r="D2700" i="1"/>
  <c r="D8220" i="1"/>
  <c r="D8603" i="1"/>
  <c r="D4234" i="1"/>
  <c r="D806" i="1"/>
  <c r="D8735" i="1"/>
  <c r="D5554" i="1"/>
  <c r="D4167" i="1"/>
  <c r="D8219" i="1"/>
  <c r="D8221" i="1"/>
  <c r="D4620" i="1"/>
  <c r="D6034" i="1"/>
  <c r="D8224" i="1"/>
  <c r="D8402" i="1"/>
  <c r="D6045" i="1"/>
  <c r="D8507" i="1"/>
  <c r="D6046" i="1"/>
  <c r="D6041" i="1"/>
  <c r="D6042" i="1"/>
  <c r="D8215" i="1"/>
  <c r="D8216" i="1"/>
  <c r="D8605" i="1"/>
  <c r="D8217" i="1"/>
  <c r="D2194" i="1"/>
  <c r="D7090" i="1"/>
  <c r="D8746" i="1"/>
  <c r="D7091" i="1"/>
  <c r="D8227" i="1"/>
  <c r="D8604" i="1"/>
  <c r="D8223" i="1"/>
  <c r="D1650" i="1"/>
  <c r="D8459" i="1"/>
  <c r="D6338" i="1"/>
  <c r="D2243" i="1"/>
  <c r="D2244" i="1"/>
  <c r="D2560" i="1"/>
  <c r="D812" i="1"/>
  <c r="D816" i="1"/>
  <c r="D819" i="1"/>
  <c r="D3470" i="1"/>
  <c r="D3483" i="1"/>
  <c r="D6035" i="1"/>
  <c r="D4621" i="1"/>
  <c r="D1811" i="1"/>
  <c r="D2229" i="1"/>
  <c r="D8443" i="1"/>
  <c r="D8444" i="1"/>
  <c r="D8740" i="1"/>
  <c r="D7862" i="1"/>
  <c r="D8427" i="1"/>
  <c r="D3467" i="1"/>
  <c r="D4915" i="1"/>
  <c r="D1818" i="1"/>
  <c r="D6039" i="1"/>
  <c r="D6339" i="1"/>
  <c r="D611" i="1"/>
  <c r="D4070" i="1"/>
  <c r="D797" i="1"/>
  <c r="D7102" i="1"/>
  <c r="D5307" i="1"/>
  <c r="D1001" i="1"/>
  <c r="D1828" i="1"/>
  <c r="D849" i="1"/>
  <c r="D1579" i="1"/>
  <c r="D3888" i="1"/>
  <c r="D8446" i="1"/>
  <c r="D4493" i="1"/>
  <c r="D2094" i="1"/>
  <c r="D2095" i="1"/>
  <c r="D5641" i="1"/>
  <c r="D800" i="1"/>
  <c r="D1595" i="1"/>
  <c r="D7084" i="1"/>
  <c r="D6040" i="1"/>
  <c r="D6340" i="1"/>
  <c r="D5642" i="1"/>
  <c r="D7100" i="1"/>
  <c r="D5643" i="1"/>
  <c r="D8406" i="1"/>
  <c r="D5296" i="1"/>
  <c r="D5653" i="1"/>
  <c r="D380" i="1"/>
  <c r="D2526" i="1"/>
  <c r="D8530" i="1"/>
  <c r="D7001" i="1"/>
  <c r="D1978" i="1"/>
  <c r="D8602" i="1"/>
  <c r="D5644" i="1"/>
  <c r="D1982" i="1"/>
  <c r="D6038" i="1"/>
  <c r="D3952" i="1"/>
  <c r="D8441" i="1"/>
  <c r="D5655" i="1"/>
  <c r="D6925" i="1"/>
  <c r="D1778" i="1"/>
  <c r="D5645" i="1"/>
  <c r="D7085" i="1"/>
  <c r="D8442" i="1"/>
  <c r="D2160" i="1"/>
  <c r="D1989" i="1"/>
  <c r="D2219" i="1"/>
  <c r="D2554" i="1"/>
  <c r="D3032" i="1"/>
  <c r="D8738" i="1"/>
  <c r="D2556" i="1"/>
  <c r="D6043" i="1"/>
  <c r="D2096" i="1"/>
  <c r="D5657" i="1"/>
  <c r="D8745" i="1"/>
  <c r="D1947" i="1"/>
  <c r="D7865" i="1"/>
  <c r="D5310" i="1"/>
  <c r="D379" i="1"/>
  <c r="D6391" i="1"/>
  <c r="D3466" i="1"/>
  <c r="D6994" i="1"/>
  <c r="D4768" i="1"/>
  <c r="D2184" i="1"/>
  <c r="D2696" i="1"/>
  <c r="D4497" i="1"/>
  <c r="D6044" i="1"/>
  <c r="D8524" i="1"/>
  <c r="D6996" i="1"/>
  <c r="D2759" i="1"/>
  <c r="D1596" i="1"/>
  <c r="D3249" i="1"/>
  <c r="D2209" i="1"/>
  <c r="D4265" i="1"/>
  <c r="D8737" i="1"/>
  <c r="D803" i="1"/>
  <c r="D8741" i="1"/>
  <c r="D4008" i="1"/>
  <c r="D498" i="1"/>
  <c r="D2702" i="1"/>
  <c r="D798" i="1"/>
  <c r="D8513" i="1"/>
  <c r="D2449" i="1"/>
  <c r="D2121" i="1"/>
  <c r="D2176" i="1"/>
  <c r="D3886" i="1"/>
  <c r="D499" i="1"/>
  <c r="D554" i="1"/>
  <c r="D8739" i="1"/>
  <c r="D5588" i="1"/>
  <c r="D381" i="1"/>
  <c r="D1881" i="1"/>
  <c r="D799" i="1"/>
  <c r="D3034" i="1"/>
  <c r="D2701" i="1"/>
  <c r="D6998" i="1"/>
  <c r="D3247" i="1"/>
  <c r="D1940" i="1"/>
  <c r="D5395" i="1"/>
  <c r="D8445" i="1"/>
  <c r="D6721" i="1"/>
  <c r="D3069" i="1"/>
  <c r="D2943" i="1"/>
  <c r="D6185" i="1"/>
  <c r="D7011" i="1"/>
  <c r="D5388" i="1"/>
  <c r="D6031" i="1"/>
  <c r="D2791" i="1"/>
  <c r="D1027" i="1"/>
  <c r="D1145" i="1"/>
  <c r="D7089" i="1"/>
  <c r="D6931" i="1"/>
  <c r="D6047" i="1"/>
  <c r="D801" i="1"/>
  <c r="D2083" i="1"/>
  <c r="D2703" i="1"/>
  <c r="D8021" i="1"/>
  <c r="D7006" i="1"/>
  <c r="D6932" i="1"/>
  <c r="D5254" i="1"/>
  <c r="D8458" i="1"/>
  <c r="D5654" i="1"/>
  <c r="D3250" i="1"/>
  <c r="D8523" i="1"/>
  <c r="D4168" i="1"/>
  <c r="D2030" i="1"/>
  <c r="D4169" i="1"/>
  <c r="D796" i="1"/>
  <c r="D7864" i="1"/>
  <c r="D6037" i="1"/>
  <c r="D904" i="1"/>
  <c r="D2961" i="1"/>
  <c r="D8494" i="1"/>
  <c r="D6435" i="1"/>
  <c r="D8525" i="1"/>
  <c r="D845" i="1"/>
  <c r="D6036" i="1"/>
  <c r="D6436" i="1"/>
  <c r="D8531" i="1"/>
  <c r="D2555" i="1"/>
  <c r="D1896" i="1"/>
  <c r="D6033" i="1"/>
  <c r="D6422" i="1"/>
  <c r="D8454" i="1"/>
  <c r="D7087" i="1"/>
  <c r="D6657" i="1"/>
  <c r="D2539" i="1"/>
  <c r="D3162" i="1"/>
  <c r="D5152" i="1"/>
  <c r="D2193" i="1"/>
  <c r="D2001" i="1"/>
  <c r="D5913" i="1"/>
  <c r="D4257" i="1"/>
  <c r="D4248" i="1"/>
  <c r="D681" i="1"/>
  <c r="D2204" i="1"/>
  <c r="D4301" i="1"/>
  <c r="D8347" i="1"/>
  <c r="D6424" i="1"/>
  <c r="D1623" i="1"/>
  <c r="D4477" i="1"/>
  <c r="D1800" i="1"/>
  <c r="D1081" i="1"/>
  <c r="D2535" i="1"/>
  <c r="D1013" i="1"/>
  <c r="D4882" i="1"/>
  <c r="D3164" i="1"/>
  <c r="D1789" i="1"/>
  <c r="D8210" i="1"/>
  <c r="D3330" i="1"/>
  <c r="D5098" i="1"/>
  <c r="D1973" i="1"/>
  <c r="D1971" i="1"/>
  <c r="D1991" i="1"/>
  <c r="D8742" i="1"/>
  <c r="D8100" i="1"/>
  <c r="D2142" i="1"/>
  <c r="D8337" i="1"/>
  <c r="D8097" i="1"/>
  <c r="D8099" i="1"/>
  <c r="D8098" i="1"/>
  <c r="D2163" i="1"/>
  <c r="D8336" i="1"/>
  <c r="D2165" i="1"/>
  <c r="D8333" i="1"/>
  <c r="D2000" i="1"/>
  <c r="D1649" i="1"/>
  <c r="D8334" i="1"/>
  <c r="D1592" i="1"/>
  <c r="D8335" i="1"/>
  <c r="D1963" i="1"/>
  <c r="D3353" i="1"/>
  <c r="D2068" i="1"/>
  <c r="D1581" i="1"/>
  <c r="D767" i="1"/>
  <c r="D768" i="1"/>
  <c r="D766" i="1"/>
  <c r="D1582" i="1"/>
  <c r="D1970" i="1"/>
  <c r="D340" i="1"/>
  <c r="D8331" i="1"/>
  <c r="D341" i="1"/>
  <c r="D2245" i="1"/>
  <c r="D2246" i="1"/>
  <c r="D8736" i="1"/>
  <c r="D8327" i="1"/>
  <c r="D2230" i="1"/>
  <c r="D1842" i="1"/>
  <c r="D1777" i="1"/>
  <c r="D4584" i="1"/>
  <c r="D2072" i="1"/>
  <c r="D832" i="1"/>
  <c r="D833" i="1"/>
  <c r="D2105" i="1"/>
  <c r="D834" i="1"/>
  <c r="D552" i="1"/>
  <c r="D551" i="1"/>
  <c r="D8329" i="1"/>
  <c r="D2073" i="1"/>
  <c r="D2075" i="1"/>
  <c r="D2071" i="1"/>
  <c r="D2069" i="1"/>
  <c r="D697" i="1"/>
  <c r="D2223" i="1"/>
  <c r="D2222" i="1"/>
  <c r="D2221" i="1"/>
  <c r="D2082" i="1"/>
  <c r="D2070" i="1"/>
  <c r="D8325" i="1"/>
  <c r="D2016" i="1"/>
  <c r="D8262" i="1"/>
  <c r="D8330" i="1"/>
  <c r="D8195" i="1"/>
  <c r="D8201" i="1"/>
  <c r="D8194" i="1"/>
  <c r="D8200" i="1"/>
  <c r="D8196" i="1"/>
  <c r="D8198" i="1"/>
  <c r="D8199" i="1"/>
  <c r="D8193" i="1"/>
  <c r="D8197" i="1"/>
  <c r="D8202" i="1"/>
  <c r="D2664" i="1"/>
  <c r="D1815" i="1"/>
  <c r="D1816" i="1"/>
  <c r="D1817" i="1"/>
  <c r="D8326" i="1"/>
  <c r="D8204" i="1"/>
  <c r="D8207" i="1"/>
  <c r="D8203" i="1"/>
  <c r="D8206" i="1"/>
  <c r="D8205" i="1"/>
  <c r="D8208" i="1"/>
  <c r="D8209" i="1"/>
  <c r="D3554" i="1"/>
  <c r="D3553" i="1"/>
  <c r="D3556" i="1"/>
  <c r="D3555" i="1"/>
  <c r="D8328" i="1"/>
  <c r="D2561" i="1"/>
  <c r="D809" i="1"/>
  <c r="D808" i="1"/>
  <c r="D807" i="1"/>
  <c r="D810" i="1"/>
  <c r="D5304" i="1"/>
  <c r="D5305" i="1"/>
  <c r="D5303" i="1"/>
  <c r="D5306" i="1"/>
  <c r="D8341" i="1"/>
  <c r="D2181" i="1"/>
  <c r="D8192" i="1"/>
  <c r="D2182" i="1"/>
  <c r="D2180" i="1"/>
  <c r="D2242" i="1"/>
  <c r="D2103" i="1"/>
  <c r="D2104" i="1"/>
  <c r="D2201" i="1"/>
  <c r="D2197" i="1"/>
  <c r="D2196" i="1"/>
  <c r="D2200" i="1"/>
  <c r="D2198" i="1"/>
  <c r="D2199" i="1"/>
  <c r="D8340" i="1"/>
  <c r="D6660" i="1"/>
  <c r="D6661" i="1"/>
  <c r="D8339" i="1"/>
  <c r="D8301" i="1"/>
  <c r="D8310" i="1"/>
  <c r="D6005" i="1"/>
  <c r="D2192" i="1"/>
  <c r="D8306" i="1"/>
  <c r="D8309" i="1"/>
  <c r="D8305" i="1"/>
  <c r="D8308" i="1"/>
  <c r="D8307" i="1"/>
  <c r="D8303" i="1"/>
  <c r="D8302" i="1"/>
  <c r="D8304" i="1"/>
  <c r="D2006" i="1"/>
  <c r="D8338" i="1"/>
  <c r="D3255" i="1"/>
  <c r="D3257" i="1"/>
  <c r="D3256" i="1"/>
  <c r="D3258" i="1"/>
  <c r="D3254" i="1"/>
  <c r="D2054" i="1"/>
  <c r="D2043" i="1"/>
  <c r="D2049" i="1"/>
  <c r="D2053" i="1"/>
  <c r="D2044" i="1"/>
  <c r="D2048" i="1"/>
  <c r="D2047" i="1"/>
  <c r="D2045" i="1"/>
  <c r="D2046" i="1"/>
  <c r="D2050" i="1"/>
  <c r="D2051" i="1"/>
  <c r="D3328" i="1"/>
  <c r="D3252" i="1"/>
  <c r="D3253" i="1"/>
  <c r="D2052" i="1"/>
  <c r="D698" i="1"/>
  <c r="D684" i="1"/>
  <c r="D687" i="1"/>
  <c r="D686" i="1"/>
  <c r="D1611" i="1"/>
  <c r="D688" i="1"/>
  <c r="D685" i="1"/>
  <c r="D8189" i="1"/>
  <c r="D8191" i="1"/>
  <c r="D8188" i="1"/>
  <c r="D8190" i="1"/>
  <c r="D8187" i="1"/>
  <c r="D8343" i="1"/>
  <c r="D2226" i="1"/>
  <c r="D1992" i="1"/>
  <c r="D2034" i="1"/>
  <c r="D2118" i="1"/>
  <c r="D2120" i="1"/>
  <c r="D6184" i="1"/>
  <c r="D2119" i="1"/>
  <c r="D2055" i="1"/>
  <c r="D2106" i="1"/>
  <c r="D2018" i="1"/>
  <c r="D8212" i="1"/>
  <c r="D8211" i="1"/>
  <c r="D5994" i="1"/>
  <c r="D2157" i="1"/>
  <c r="D2158" i="1"/>
  <c r="D5995" i="1"/>
  <c r="D7030" i="1"/>
  <c r="D2156" i="1"/>
  <c r="D5996" i="1"/>
  <c r="D4275" i="1"/>
  <c r="D4277" i="1"/>
  <c r="D4651" i="1"/>
  <c r="D1968" i="1"/>
  <c r="D4276" i="1"/>
  <c r="D1967" i="1"/>
  <c r="D1017" i="1"/>
  <c r="D2008" i="1"/>
  <c r="D5993" i="1"/>
  <c r="D2093" i="1"/>
  <c r="D1776" i="1"/>
  <c r="D2091" i="1"/>
  <c r="D2090" i="1"/>
  <c r="D2092" i="1"/>
  <c r="D2089" i="1"/>
  <c r="D2486" i="1"/>
  <c r="D2553" i="1"/>
  <c r="D1830" i="1"/>
  <c r="D2040" i="1"/>
  <c r="D689" i="1"/>
  <c r="D2041" i="1"/>
  <c r="D1573" i="1"/>
  <c r="D2074" i="1"/>
  <c r="D2240" i="1"/>
  <c r="D2239" i="1"/>
  <c r="D2241" i="1"/>
  <c r="D2131" i="1"/>
  <c r="D2130" i="1"/>
  <c r="D2665" i="1"/>
  <c r="D8344" i="1"/>
  <c r="D2164" i="1"/>
  <c r="D8342" i="1"/>
  <c r="D2042" i="1"/>
  <c r="D2247" i="1"/>
  <c r="D5846" i="1"/>
  <c r="D2009" i="1"/>
  <c r="D1620" i="1"/>
  <c r="D8453" i="1"/>
  <c r="D2147" i="1"/>
  <c r="D6032" i="1"/>
  <c r="D8704" i="1"/>
  <c r="D7034" i="1"/>
  <c r="D848" i="1"/>
  <c r="D3248" i="1"/>
  <c r="D7861" i="1"/>
  <c r="D5300" i="1"/>
  <c r="D5301" i="1"/>
  <c r="D5298" i="1"/>
  <c r="D5299" i="1"/>
  <c r="D4303" i="1"/>
  <c r="D820" i="1"/>
  <c r="D821" i="1"/>
  <c r="D3035" i="1"/>
  <c r="D3033" i="1"/>
  <c r="D1975" i="1"/>
  <c r="D4166" i="1"/>
  <c r="D5096" i="1"/>
  <c r="D5095" i="1"/>
  <c r="D5097" i="1"/>
  <c r="D814" i="1"/>
  <c r="D815" i="1"/>
  <c r="D813" i="1"/>
  <c r="D2215" i="1"/>
  <c r="D2214" i="1"/>
  <c r="D2216" i="1"/>
  <c r="D2552" i="1"/>
  <c r="D1634" i="1"/>
  <c r="D1605" i="1"/>
  <c r="D1603" i="1"/>
  <c r="D1604" i="1"/>
  <c r="D1576" i="1"/>
  <c r="D3465" i="1"/>
  <c r="D3471" i="1"/>
  <c r="D1979" i="1"/>
  <c r="D1980" i="1"/>
  <c r="D1972" i="1"/>
  <c r="D1990" i="1"/>
  <c r="D1616" i="1"/>
  <c r="D6438" i="1"/>
  <c r="D4762" i="1"/>
  <c r="D4159" i="1"/>
  <c r="D8708" i="1"/>
  <c r="D6019" i="1"/>
  <c r="D4272" i="1"/>
  <c r="D5391" i="1"/>
  <c r="D2688" i="1"/>
  <c r="D1722" i="1"/>
  <c r="D6673" i="1"/>
  <c r="D2845" i="1"/>
  <c r="D5124" i="1"/>
  <c r="D2750" i="1"/>
  <c r="D7754" i="1"/>
  <c r="D410" i="1"/>
  <c r="D5200" i="1"/>
  <c r="D7868" i="1"/>
  <c r="D7366" i="1"/>
  <c r="D937" i="1"/>
  <c r="D4091" i="1"/>
  <c r="D7599" i="1"/>
  <c r="D6724" i="1"/>
  <c r="D2895" i="1"/>
  <c r="D4086" i="1"/>
  <c r="D4720" i="1"/>
  <c r="D6826" i="1"/>
  <c r="D1106" i="1"/>
  <c r="D1005" i="1"/>
  <c r="D5176" i="1"/>
  <c r="D2912" i="1"/>
  <c r="D6864" i="1"/>
  <c r="D1223" i="1"/>
  <c r="D1250" i="1"/>
  <c r="D8023" i="1"/>
  <c r="D2395" i="1"/>
  <c r="D4153" i="1"/>
  <c r="D450" i="1"/>
  <c r="D7555" i="1"/>
  <c r="D3594" i="1"/>
  <c r="D87" i="1"/>
  <c r="D495" i="1"/>
  <c r="D5340" i="1"/>
  <c r="D4802" i="1"/>
  <c r="D5171" i="1"/>
  <c r="D725" i="1"/>
  <c r="D7101" i="1"/>
  <c r="D8529" i="1"/>
  <c r="D8528" i="1"/>
  <c r="D8527" i="1"/>
  <c r="D6720" i="1"/>
  <c r="D1562" i="1"/>
  <c r="D804" i="1"/>
  <c r="D1685" i="1"/>
  <c r="D8540" i="1"/>
  <c r="D5607" i="1"/>
  <c r="D3055" i="1"/>
  <c r="D2151" i="1"/>
  <c r="D2375" i="1"/>
  <c r="D6902" i="1"/>
  <c r="D6270" i="1"/>
  <c r="D6588" i="1"/>
  <c r="D5966" i="1"/>
  <c r="D5386" i="1"/>
  <c r="D2903" i="1"/>
  <c r="D6857" i="1"/>
  <c r="D5518" i="1"/>
  <c r="D928" i="1"/>
  <c r="D6143" i="1"/>
  <c r="D6257" i="1"/>
  <c r="D2964" i="1"/>
  <c r="D1380" i="1"/>
  <c r="D1670" i="1"/>
  <c r="D589" i="1"/>
  <c r="D1659" i="1"/>
  <c r="D77" i="1"/>
  <c r="D3525" i="1"/>
  <c r="D868" i="1"/>
  <c r="D7985" i="1"/>
  <c r="D3017" i="1"/>
  <c r="D2495" i="1"/>
  <c r="D3676" i="1"/>
  <c r="D590" i="1"/>
  <c r="D1660" i="1"/>
  <c r="D3910" i="1"/>
  <c r="D1855" i="1"/>
  <c r="D278" i="1"/>
  <c r="D3633" i="1"/>
  <c r="D1039" i="1"/>
  <c r="D1679" i="1"/>
  <c r="D771" i="1"/>
  <c r="D2788" i="1"/>
  <c r="D6331" i="1"/>
  <c r="D2830" i="1"/>
  <c r="D6303" i="1"/>
  <c r="D8515" i="1"/>
  <c r="D8031" i="1"/>
  <c r="D2568" i="1"/>
  <c r="D2790" i="1"/>
  <c r="D3239" i="1"/>
  <c r="D4385" i="1"/>
  <c r="D2660" i="1"/>
  <c r="D7700" i="1"/>
  <c r="D2260" i="1"/>
  <c r="D6078" i="1"/>
  <c r="D6167" i="1"/>
  <c r="D5444" i="1"/>
  <c r="D7475" i="1"/>
  <c r="D6098" i="1"/>
  <c r="D4770" i="1"/>
  <c r="D2826" i="1"/>
  <c r="D3704" i="1"/>
  <c r="D6958" i="1"/>
  <c r="D8238" i="1"/>
  <c r="D6107" i="1"/>
  <c r="D7545" i="1"/>
  <c r="D296" i="1"/>
  <c r="D6101" i="1"/>
  <c r="D6146" i="1"/>
  <c r="D3866" i="1"/>
  <c r="D1451" i="1"/>
  <c r="D4047" i="1"/>
  <c r="D2514" i="1"/>
  <c r="D6288" i="1"/>
  <c r="D596" i="1"/>
  <c r="D4775" i="1"/>
  <c r="D3522" i="1"/>
  <c r="D5178" i="1"/>
  <c r="D3778" i="1"/>
  <c r="D4530" i="1"/>
  <c r="D4982" i="1"/>
  <c r="D8169" i="1"/>
  <c r="D7506" i="1"/>
  <c r="D1853" i="1"/>
  <c r="D7026" i="1"/>
  <c r="D2670" i="1"/>
  <c r="D4020" i="1"/>
  <c r="D3361" i="1"/>
  <c r="D2417" i="1"/>
  <c r="D8072" i="1"/>
  <c r="D6476" i="1"/>
  <c r="D7188" i="1"/>
  <c r="D8233" i="1"/>
  <c r="D8139" i="1"/>
  <c r="D5357" i="1"/>
  <c r="D4670" i="1"/>
  <c r="D356" i="1"/>
  <c r="D3658" i="1"/>
  <c r="D5521" i="1"/>
  <c r="D998" i="1"/>
  <c r="D6843" i="1"/>
  <c r="D2886" i="1"/>
  <c r="D4920" i="1"/>
  <c r="D2564" i="1"/>
  <c r="D2807" i="1"/>
  <c r="D7539" i="1"/>
  <c r="D3147" i="1"/>
  <c r="D7818" i="1"/>
  <c r="D6359" i="1"/>
  <c r="D5768" i="1"/>
  <c r="D344" i="1"/>
  <c r="D2269" i="1"/>
  <c r="D2398" i="1"/>
  <c r="D7179" i="1"/>
  <c r="D956" i="1"/>
  <c r="D1190" i="1"/>
  <c r="D4695" i="1"/>
  <c r="D8291" i="1"/>
  <c r="D2956" i="1"/>
  <c r="D7291" i="1"/>
  <c r="D861" i="1"/>
  <c r="D2168" i="1"/>
  <c r="D1025" i="1"/>
  <c r="D3543" i="1"/>
  <c r="D6299" i="1"/>
  <c r="D2751" i="1"/>
  <c r="D8111" i="1"/>
  <c r="D2211" i="1"/>
  <c r="D4201" i="1"/>
  <c r="D2392" i="1"/>
  <c r="D7348" i="1"/>
  <c r="D4192" i="1"/>
  <c r="D8025" i="1"/>
  <c r="D3961" i="1"/>
  <c r="D375" i="1"/>
  <c r="D4573" i="1"/>
  <c r="D2329" i="1"/>
  <c r="D4209" i="1"/>
  <c r="D5844" i="1"/>
  <c r="D2056" i="1"/>
  <c r="D4471" i="1"/>
  <c r="D8573" i="1"/>
  <c r="D1607" i="1"/>
  <c r="D665" i="1"/>
  <c r="D3960" i="1"/>
  <c r="D6698" i="1"/>
  <c r="D7178" i="1"/>
  <c r="D4527" i="1"/>
  <c r="D5090" i="1"/>
  <c r="D6444" i="1"/>
  <c r="D1544" i="1"/>
  <c r="D4838" i="1"/>
  <c r="D1664" i="1"/>
  <c r="D5617" i="1"/>
  <c r="D6103" i="1"/>
  <c r="D6129" i="1"/>
  <c r="D2316" i="1"/>
  <c r="D2248" i="1"/>
  <c r="D6117" i="1"/>
  <c r="D6072" i="1"/>
  <c r="D7043" i="1"/>
  <c r="D6065" i="1"/>
  <c r="D5553" i="1"/>
  <c r="D2942" i="1"/>
  <c r="D6131" i="1"/>
  <c r="D1509" i="1"/>
  <c r="D6079" i="1"/>
  <c r="D8029" i="1"/>
  <c r="D6058" i="1"/>
  <c r="D6138" i="1"/>
  <c r="D6073" i="1"/>
  <c r="D6149" i="1"/>
  <c r="D6119" i="1"/>
  <c r="D6127" i="1"/>
  <c r="D7347" i="1"/>
  <c r="D5702" i="1"/>
  <c r="D6069" i="1"/>
  <c r="D6090" i="1"/>
  <c r="D6112" i="1"/>
  <c r="D6144" i="1"/>
  <c r="D6122" i="1"/>
  <c r="D6088" i="1"/>
  <c r="D6132" i="1"/>
  <c r="D6060" i="1"/>
  <c r="D6152" i="1"/>
  <c r="D6973" i="1"/>
  <c r="D6140" i="1"/>
  <c r="D6118" i="1"/>
  <c r="D6166" i="1"/>
  <c r="D4746" i="1"/>
  <c r="D6134" i="1"/>
  <c r="D6076" i="1"/>
  <c r="D6150" i="1"/>
  <c r="D6162" i="1"/>
  <c r="D6115" i="1"/>
  <c r="D6064" i="1"/>
  <c r="D6097" i="1"/>
  <c r="D6154" i="1"/>
  <c r="D6133" i="1"/>
  <c r="D6137" i="1"/>
  <c r="D6156" i="1"/>
  <c r="D6157" i="1"/>
  <c r="D6163" i="1"/>
  <c r="D6124" i="1"/>
  <c r="D6126" i="1"/>
  <c r="D6104" i="1"/>
  <c r="D6128" i="1"/>
  <c r="D6158" i="1"/>
  <c r="D78" i="1"/>
  <c r="D7405" i="1"/>
  <c r="D6080" i="1"/>
  <c r="D6147" i="1"/>
  <c r="D6136" i="1"/>
  <c r="D6105" i="1"/>
  <c r="D6145" i="1"/>
  <c r="D6161" i="1"/>
  <c r="D6159" i="1"/>
  <c r="D6091" i="1"/>
  <c r="D6077" i="1"/>
  <c r="D566" i="1"/>
  <c r="D6062" i="1"/>
  <c r="D6075" i="1"/>
  <c r="D6094" i="1"/>
  <c r="D6114" i="1"/>
  <c r="D6160" i="1"/>
  <c r="D6110" i="1"/>
  <c r="D6116" i="1"/>
  <c r="D6109" i="1"/>
  <c r="D6102" i="1"/>
  <c r="D6085" i="1"/>
  <c r="D6120" i="1"/>
  <c r="D6095" i="1"/>
  <c r="D6113" i="1"/>
  <c r="D6096" i="1"/>
  <c r="D6084" i="1"/>
  <c r="D6074" i="1"/>
  <c r="D6108" i="1"/>
  <c r="D6092" i="1"/>
  <c r="D6139" i="1"/>
  <c r="D6071" i="1"/>
  <c r="D6093" i="1"/>
  <c r="D6086" i="1"/>
  <c r="D6068" i="1"/>
  <c r="D6151" i="1"/>
  <c r="D6087" i="1"/>
  <c r="D6081" i="1"/>
  <c r="D6155" i="1"/>
  <c r="D7559" i="1"/>
  <c r="D6123" i="1"/>
  <c r="D3520" i="1"/>
  <c r="D4757" i="1"/>
  <c r="D3277" i="1"/>
  <c r="D3974" i="1"/>
  <c r="D2342" i="1"/>
  <c r="D1283" i="1"/>
  <c r="D4698" i="1"/>
  <c r="D4685" i="1"/>
  <c r="D1387" i="1"/>
  <c r="D157" i="1"/>
  <c r="D6813" i="1"/>
  <c r="D7695" i="1"/>
  <c r="D2493" i="1"/>
  <c r="D6966" i="1"/>
  <c r="D8649" i="1"/>
  <c r="D3724" i="1"/>
  <c r="D5564" i="1"/>
  <c r="D5512" i="1"/>
  <c r="D7853" i="1"/>
  <c r="D1151" i="1"/>
  <c r="D6525" i="1"/>
  <c r="D4010" i="1"/>
  <c r="D6677" i="1"/>
  <c r="D4660" i="1"/>
  <c r="D6089" i="1"/>
  <c r="D6534" i="1"/>
  <c r="D7782" i="1"/>
  <c r="D571" i="1"/>
  <c r="D7244" i="1"/>
  <c r="D7301" i="1"/>
  <c r="D2783" i="1"/>
  <c r="D3964" i="1"/>
  <c r="D2887" i="1"/>
  <c r="D182" i="1"/>
  <c r="D4346" i="1"/>
  <c r="D4636" i="1"/>
  <c r="D4338" i="1"/>
  <c r="D8118" i="1"/>
  <c r="D3731" i="1"/>
  <c r="D1197" i="1"/>
  <c r="D541" i="1"/>
  <c r="D8394" i="1"/>
  <c r="D4348" i="1"/>
  <c r="D5847" i="1"/>
  <c r="D2784" i="1"/>
  <c r="D4362" i="1"/>
  <c r="D2318" i="1"/>
  <c r="D1503" i="1"/>
  <c r="D4039" i="1"/>
  <c r="D8688" i="1"/>
  <c r="D6550" i="1"/>
  <c r="D5190" i="1"/>
  <c r="D74" i="1"/>
  <c r="D2624" i="1"/>
  <c r="D4635" i="1"/>
  <c r="D2565" i="1"/>
  <c r="D28" i="1"/>
  <c r="D6398" i="1"/>
  <c r="D2996" i="1"/>
  <c r="D4350" i="1"/>
  <c r="D4134" i="1"/>
  <c r="D5740" i="1"/>
  <c r="D1339" i="1"/>
  <c r="D4351" i="1"/>
  <c r="D5155" i="1"/>
  <c r="D5" i="1"/>
  <c r="D2562" i="1"/>
  <c r="D4024" i="1"/>
  <c r="D5677" i="1"/>
  <c r="D2566" i="1"/>
  <c r="D2683" i="1"/>
  <c r="D6083" i="1"/>
  <c r="D75" i="1"/>
  <c r="D6070" i="1"/>
  <c r="D6165" i="1"/>
  <c r="D4132" i="1"/>
  <c r="D6198" i="1"/>
  <c r="D6199" i="1"/>
  <c r="D4357" i="1"/>
  <c r="D8669" i="1"/>
  <c r="D3234" i="1"/>
  <c r="D1751" i="1"/>
  <c r="D2148" i="1"/>
  <c r="D5783" i="1"/>
  <c r="D5239" i="1"/>
  <c r="D3889" i="1"/>
  <c r="D5928" i="1"/>
  <c r="D5390" i="1"/>
  <c r="D822" i="1"/>
  <c r="D3904" i="1"/>
  <c r="D5020" i="1"/>
  <c r="D500" i="1"/>
  <c r="D3563" i="1"/>
  <c r="D2459" i="1"/>
  <c r="D8621" i="1"/>
  <c r="D7641" i="1"/>
  <c r="D3559" i="1"/>
  <c r="D3882" i="1"/>
  <c r="D2036" i="1"/>
  <c r="D6169" i="1"/>
  <c r="D386" i="1"/>
  <c r="D6794" i="1"/>
  <c r="D355" i="1"/>
  <c r="D6554" i="1"/>
  <c r="D3517" i="1"/>
  <c r="D6111" i="1"/>
  <c r="D5811" i="1"/>
  <c r="D3481" i="1"/>
  <c r="D2869" i="1"/>
  <c r="D1409" i="1"/>
  <c r="D7182" i="1"/>
  <c r="D2897" i="1"/>
  <c r="D6271" i="1"/>
  <c r="D5016" i="1"/>
  <c r="D6811" i="1"/>
  <c r="D6063" i="1"/>
  <c r="D2707" i="1"/>
  <c r="D5385" i="1"/>
  <c r="D588" i="1"/>
  <c r="D2108" i="1"/>
  <c r="D3712" i="1"/>
  <c r="D1914" i="1"/>
  <c r="D5889" i="1"/>
  <c r="D6130" i="1"/>
  <c r="D6055" i="1"/>
  <c r="D4935" i="1"/>
  <c r="D8150" i="1"/>
  <c r="D71" i="1"/>
  <c r="D5263" i="1"/>
  <c r="D7098" i="1"/>
  <c r="D8400" i="1"/>
  <c r="D4938" i="1"/>
  <c r="D6644" i="1"/>
  <c r="D7322" i="1"/>
  <c r="D79" i="1"/>
  <c r="D6992" i="1"/>
  <c r="D5629" i="1"/>
  <c r="D4247" i="1"/>
  <c r="D1014" i="1"/>
  <c r="D5737" i="1"/>
  <c r="D5189" i="1"/>
  <c r="D5957" i="1"/>
  <c r="D8437" i="1"/>
  <c r="D4874" i="1"/>
  <c r="D7099" i="1"/>
  <c r="D8687" i="1"/>
  <c r="D8433" i="1"/>
  <c r="D4550" i="1"/>
  <c r="D5870" i="1"/>
  <c r="D3438" i="1"/>
  <c r="D6609" i="1"/>
  <c r="D5103" i="1"/>
  <c r="D65" i="1"/>
  <c r="D4005" i="1"/>
  <c r="D1099" i="1"/>
  <c r="D5930" i="1"/>
  <c r="D8680" i="1"/>
  <c r="D8396" i="1"/>
  <c r="D1691" i="1"/>
  <c r="D92" i="1"/>
  <c r="D2426" i="1"/>
  <c r="D4659" i="1"/>
  <c r="D6722" i="1"/>
  <c r="D7193" i="1"/>
  <c r="D5725" i="1"/>
  <c r="D5118" i="1"/>
  <c r="D2729" i="1"/>
  <c r="D6187" i="1"/>
  <c r="D6135" i="1"/>
  <c r="D6082" i="1"/>
  <c r="D2809" i="1"/>
  <c r="D6148" i="1"/>
  <c r="D6582" i="1"/>
  <c r="D8462" i="1"/>
  <c r="D5893" i="1"/>
  <c r="D2992" i="1"/>
  <c r="D4951" i="1"/>
  <c r="D520" i="1"/>
  <c r="D286" i="1"/>
  <c r="D6545" i="1"/>
  <c r="D6227" i="1"/>
  <c r="D1090" i="1"/>
  <c r="D6142" i="1"/>
  <c r="D586" i="1"/>
  <c r="D7056" i="1"/>
  <c r="D6054" i="1"/>
  <c r="D6428" i="1"/>
  <c r="D2361" i="1"/>
  <c r="D2810" i="1"/>
  <c r="D4994" i="1"/>
  <c r="D6141" i="1"/>
  <c r="D1041" i="1"/>
  <c r="D2249" i="1"/>
  <c r="D4180" i="1"/>
  <c r="D4597" i="1"/>
  <c r="D3313" i="1"/>
  <c r="D702" i="1"/>
  <c r="D7372" i="1"/>
  <c r="D1625" i="1"/>
  <c r="D6706" i="1"/>
  <c r="D7993" i="1"/>
  <c r="D4809" i="1"/>
  <c r="D2962" i="1"/>
  <c r="D1326" i="1"/>
  <c r="D6061" i="1"/>
  <c r="D6565" i="1"/>
  <c r="D6168" i="1"/>
  <c r="D985" i="1"/>
  <c r="D3923" i="1"/>
  <c r="D4750" i="1"/>
  <c r="D414" i="1"/>
  <c r="D6106" i="1"/>
  <c r="D6100" i="1"/>
  <c r="D6121" i="1"/>
  <c r="D3041" i="1"/>
  <c r="D6099" i="1"/>
  <c r="D2299" i="1"/>
  <c r="D5434" i="1"/>
  <c r="D4084" i="1"/>
  <c r="D73" i="1"/>
  <c r="D6596" i="1"/>
  <c r="D564" i="1"/>
  <c r="D185" i="1"/>
  <c r="D7735" i="1"/>
  <c r="D1400" i="1"/>
  <c r="D6353" i="1"/>
  <c r="D445" i="1"/>
  <c r="D505" i="1"/>
  <c r="D4554" i="1"/>
  <c r="D6712" i="1"/>
  <c r="D5285" i="1"/>
  <c r="D7619" i="1"/>
  <c r="D3117" i="1"/>
  <c r="D7430" i="1"/>
  <c r="D5284" i="1"/>
  <c r="D8631" i="1"/>
  <c r="D6696" i="1"/>
  <c r="D7701" i="1"/>
  <c r="D7399" i="1"/>
  <c r="D7644" i="1"/>
  <c r="D1944" i="1"/>
  <c r="D114" i="1"/>
  <c r="D2977" i="1"/>
  <c r="D1712" i="1"/>
  <c r="D2454" i="1"/>
  <c r="D4592" i="1"/>
  <c r="D3845" i="1"/>
  <c r="D7334" i="1"/>
  <c r="D5327" i="1"/>
  <c r="D8537" i="1"/>
  <c r="D2359" i="1"/>
  <c r="D7161" i="1"/>
  <c r="D5749" i="1"/>
  <c r="D977" i="1"/>
  <c r="D3736" i="1"/>
  <c r="D282" i="1"/>
  <c r="D7109" i="1"/>
  <c r="D6607" i="1"/>
  <c r="D3565" i="1"/>
  <c r="D5289" i="1"/>
  <c r="D7118" i="1"/>
  <c r="D4102" i="1"/>
  <c r="D1213" i="1"/>
  <c r="D1849" i="1"/>
  <c r="D1862" i="1"/>
  <c r="D3726" i="1"/>
  <c r="D947" i="1"/>
  <c r="D872" i="1"/>
  <c r="D1239" i="1"/>
  <c r="D4910" i="1"/>
  <c r="D4617" i="1"/>
  <c r="D5466" i="1"/>
  <c r="D3994" i="1"/>
  <c r="D274" i="1"/>
  <c r="D63" i="1"/>
  <c r="D7222" i="1"/>
  <c r="D3896" i="1"/>
  <c r="D7265" i="1"/>
  <c r="D1247" i="1"/>
  <c r="D7111" i="1"/>
  <c r="D1696" i="1"/>
  <c r="D2727" i="1"/>
  <c r="D4017" i="1"/>
  <c r="D6785" i="1"/>
  <c r="D2914" i="1"/>
  <c r="D8136" i="1"/>
  <c r="D229" i="1"/>
  <c r="D1912" i="1"/>
  <c r="D8702" i="1"/>
  <c r="D3435" i="1"/>
  <c r="D4791" i="1"/>
  <c r="D118" i="1"/>
  <c r="D2975" i="1"/>
  <c r="D4318" i="1"/>
  <c r="D6532" i="1"/>
  <c r="D1373" i="1"/>
  <c r="D1425" i="1"/>
  <c r="D5042" i="1"/>
  <c r="D4457" i="1"/>
  <c r="D4019" i="1"/>
  <c r="D8634" i="1"/>
  <c r="D6590" i="1"/>
  <c r="D2978" i="1"/>
  <c r="D2686" i="1"/>
  <c r="D465" i="1"/>
  <c r="D1140" i="1"/>
  <c r="D3906" i="1"/>
  <c r="D5747" i="1"/>
  <c r="D3130" i="1"/>
  <c r="D5796" i="1"/>
  <c r="D2484" i="1"/>
  <c r="D3840" i="1"/>
  <c r="D1226" i="1"/>
  <c r="D6881" i="1"/>
  <c r="D5135" i="1"/>
  <c r="D6821" i="1"/>
  <c r="D5508" i="1"/>
  <c r="D2916" i="1"/>
  <c r="D7916" i="1"/>
  <c r="D1708" i="1"/>
  <c r="D1379" i="1"/>
  <c r="D1707" i="1"/>
  <c r="D3485" i="1"/>
  <c r="D7991" i="1"/>
  <c r="D2480" i="1"/>
  <c r="D3532" i="1"/>
  <c r="D6509" i="1"/>
  <c r="D2919" i="1"/>
  <c r="D1680" i="1"/>
  <c r="D859" i="1"/>
  <c r="D125" i="1"/>
  <c r="D2362" i="1"/>
  <c r="D5639" i="1"/>
  <c r="D3085" i="1"/>
  <c r="D443" i="1"/>
  <c r="D462" i="1"/>
  <c r="D5822" i="1"/>
  <c r="D3544" i="1"/>
  <c r="D1135" i="1"/>
  <c r="D4913" i="1"/>
  <c r="D987" i="1"/>
  <c r="D5164" i="1"/>
  <c r="D3411" i="1"/>
  <c r="D2926" i="1"/>
  <c r="D7175" i="1"/>
  <c r="D6247" i="1"/>
  <c r="D663" i="1"/>
  <c r="D6181" i="1"/>
  <c r="D1327" i="1"/>
  <c r="D489" i="1"/>
  <c r="D5450" i="1"/>
  <c r="D4622" i="1"/>
  <c r="D1710" i="1"/>
  <c r="D5454" i="1"/>
  <c r="D6839" i="1"/>
  <c r="D544" i="1"/>
  <c r="D7229" i="1"/>
  <c r="D1481" i="1"/>
  <c r="D1051" i="1"/>
  <c r="D4018" i="1"/>
  <c r="D2367" i="1"/>
  <c r="D6769" i="1"/>
  <c r="D1673" i="1"/>
  <c r="D5015" i="1"/>
  <c r="D7230" i="1"/>
  <c r="D656" i="1"/>
  <c r="D7369" i="1"/>
  <c r="D5453" i="1"/>
  <c r="D6023" i="1"/>
  <c r="D7746" i="1"/>
  <c r="D5409" i="1"/>
  <c r="D5382" i="1"/>
  <c r="D3671" i="1"/>
  <c r="D6362" i="1"/>
  <c r="D501" i="1"/>
  <c r="D1227" i="1"/>
  <c r="D578" i="1"/>
  <c r="D2292" i="1"/>
  <c r="D1700" i="1"/>
  <c r="D2844" i="1"/>
  <c r="D7709" i="1"/>
  <c r="D5129" i="1"/>
  <c r="D4421" i="1"/>
  <c r="D5084" i="1"/>
  <c r="D2782" i="1"/>
  <c r="D7941" i="1"/>
  <c r="D8125" i="1"/>
  <c r="D3624" i="1"/>
  <c r="D200" i="1"/>
  <c r="D1086" i="1"/>
  <c r="D5077" i="1"/>
  <c r="D3139" i="1"/>
  <c r="D128" i="1"/>
  <c r="D788" i="1"/>
  <c r="D5548" i="1"/>
  <c r="D5316" i="1"/>
  <c r="D5008" i="1"/>
  <c r="D3061" i="1"/>
  <c r="D3970" i="1"/>
  <c r="D115" i="1"/>
  <c r="D1094" i="1"/>
  <c r="D1056" i="1"/>
  <c r="D5468" i="1"/>
  <c r="D4412" i="1"/>
  <c r="D6204" i="1"/>
  <c r="D6511" i="1"/>
  <c r="D2929" i="1"/>
  <c r="D2295" i="1"/>
  <c r="D3174" i="1"/>
  <c r="D8275" i="1"/>
  <c r="D1911" i="1"/>
  <c r="D6510" i="1"/>
  <c r="D5572" i="1"/>
  <c r="D4411" i="1"/>
  <c r="D2340" i="1"/>
  <c r="D5396" i="1"/>
  <c r="D1074" i="1"/>
  <c r="D6282" i="1"/>
  <c r="D5075" i="1"/>
  <c r="D3112" i="1"/>
  <c r="D3971" i="1"/>
  <c r="D7762" i="1"/>
  <c r="D275" i="1"/>
  <c r="D6236" i="1"/>
  <c r="D3172" i="1"/>
  <c r="D6725" i="1"/>
  <c r="D5205" i="1"/>
  <c r="D7440" i="1"/>
  <c r="D5288" i="1"/>
  <c r="D4329" i="1"/>
  <c r="D211" i="1"/>
  <c r="D7378" i="1"/>
  <c r="D2657" i="1"/>
  <c r="D3049" i="1"/>
  <c r="D4602" i="1"/>
  <c r="D5039" i="1"/>
  <c r="D1873" i="1"/>
  <c r="D8015" i="1"/>
  <c r="D7279" i="1"/>
  <c r="D7962" i="1"/>
  <c r="D6381" i="1"/>
  <c r="D196" i="1"/>
  <c r="D6576" i="1"/>
  <c r="D3448" i="1"/>
  <c r="D7225" i="1"/>
  <c r="D7437" i="1"/>
  <c r="D1348" i="1"/>
  <c r="D3062" i="1"/>
  <c r="D189" i="1"/>
  <c r="D6906" i="1"/>
  <c r="D3513" i="1"/>
  <c r="D5793" i="1"/>
  <c r="D5332" i="1"/>
  <c r="D6784" i="1"/>
  <c r="D6939" i="1"/>
  <c r="D8722" i="1"/>
  <c r="D5377" i="1"/>
  <c r="D2980" i="1"/>
  <c r="D1945" i="1"/>
  <c r="D7212" i="1"/>
  <c r="D5461" i="1"/>
  <c r="D4900" i="1"/>
  <c r="D5481" i="1"/>
  <c r="D7152" i="1"/>
  <c r="D4040" i="1"/>
  <c r="D2571" i="1"/>
  <c r="D4223" i="1"/>
  <c r="D6891" i="1"/>
  <c r="D6017" i="1"/>
  <c r="D2397" i="1"/>
  <c r="D2771" i="1"/>
  <c r="D731" i="1"/>
  <c r="D1119" i="1"/>
  <c r="D3452" i="1"/>
  <c r="D6267" i="1"/>
  <c r="D2974" i="1"/>
  <c r="D7886" i="1"/>
  <c r="D7927" i="1"/>
  <c r="D3204" i="1"/>
  <c r="D1929" i="1"/>
  <c r="D5072" i="1"/>
  <c r="D5161" i="1"/>
  <c r="D3006" i="1"/>
  <c r="D3113" i="1"/>
  <c r="D2431" i="1"/>
  <c r="D5537" i="1"/>
  <c r="D2864" i="1"/>
  <c r="D5997" i="1"/>
  <c r="D7064" i="1"/>
  <c r="D7146" i="1"/>
  <c r="D6546" i="1"/>
  <c r="D1330" i="1"/>
  <c r="D1096" i="1"/>
  <c r="D5491" i="1"/>
  <c r="D1229" i="1"/>
  <c r="D7887" i="1"/>
  <c r="D7846" i="1"/>
  <c r="D4175" i="1"/>
  <c r="D3509" i="1"/>
  <c r="D7294" i="1"/>
  <c r="D2955" i="1"/>
  <c r="D5798" i="1"/>
  <c r="D523" i="1"/>
  <c r="D7007" i="1"/>
  <c r="D1293" i="1"/>
  <c r="D4647" i="1"/>
  <c r="D4948" i="1"/>
  <c r="D2905" i="1"/>
  <c r="D1907" i="1"/>
  <c r="D7978" i="1"/>
  <c r="D8475" i="1"/>
  <c r="D3138" i="1"/>
  <c r="D3461" i="1"/>
  <c r="D8065" i="1"/>
  <c r="D1019" i="1"/>
  <c r="D524" i="1"/>
  <c r="D7481" i="1"/>
  <c r="D1437" i="1"/>
  <c r="D7990" i="1"/>
  <c r="D4921" i="1"/>
  <c r="D4057" i="1"/>
  <c r="D3842" i="1"/>
  <c r="D7273" i="1"/>
  <c r="D2504" i="1"/>
  <c r="D2877" i="1"/>
  <c r="D3396" i="1"/>
  <c r="D1030" i="1"/>
  <c r="D5051" i="1"/>
  <c r="D3533" i="1"/>
  <c r="D5318" i="1"/>
  <c r="D7062" i="1"/>
  <c r="D3569" i="1"/>
  <c r="D3810" i="1"/>
  <c r="D123" i="1"/>
  <c r="D6482" i="1"/>
  <c r="D1909" i="1"/>
  <c r="D3424" i="1"/>
  <c r="D4862" i="1"/>
  <c r="D6938" i="1"/>
  <c r="D1848" i="1"/>
  <c r="D8042" i="1"/>
  <c r="D4460" i="1"/>
  <c r="D7763" i="1"/>
  <c r="D8620" i="1"/>
  <c r="D1101" i="1"/>
  <c r="D5140" i="1"/>
  <c r="D3044" i="1"/>
  <c r="D974" i="1"/>
  <c r="D4240" i="1"/>
  <c r="D3308" i="1"/>
  <c r="D4101" i="1"/>
  <c r="D913" i="1"/>
  <c r="D4649" i="1"/>
  <c r="D7878" i="1"/>
  <c r="D4156" i="1"/>
  <c r="D3783" i="1"/>
  <c r="D2704" i="1"/>
  <c r="D7604" i="1"/>
  <c r="D4711" i="1"/>
  <c r="D5277" i="1"/>
  <c r="D5345" i="1"/>
  <c r="D7957" i="1"/>
  <c r="D3622" i="1"/>
  <c r="D5179" i="1"/>
  <c r="D3591" i="1"/>
  <c r="D7170" i="1"/>
  <c r="D130" i="1"/>
  <c r="D7919" i="1"/>
  <c r="D3870" i="1"/>
  <c r="D6313" i="1"/>
  <c r="D1850" i="1"/>
  <c r="D3450" i="1"/>
  <c r="D205" i="1"/>
  <c r="D7250" i="1"/>
  <c r="D1073" i="1"/>
  <c r="D1257" i="1"/>
  <c r="D4648" i="1"/>
  <c r="D6746" i="1"/>
  <c r="D4613" i="1"/>
  <c r="D1421" i="1"/>
  <c r="D7151" i="1"/>
  <c r="D615" i="1"/>
  <c r="D659" i="1"/>
  <c r="D6884" i="1"/>
  <c r="D5507" i="1"/>
  <c r="D1138" i="1"/>
  <c r="D2253" i="1"/>
  <c r="D6810" i="1"/>
  <c r="D626" i="1"/>
  <c r="D3278" i="1"/>
  <c r="D6780" i="1"/>
  <c r="D1319" i="1"/>
  <c r="D5626" i="1"/>
  <c r="D720" i="1"/>
  <c r="D5154" i="1"/>
  <c r="D217" i="1"/>
  <c r="D2259" i="1"/>
  <c r="D4185" i="1"/>
  <c r="D5104" i="1"/>
  <c r="D4408" i="1"/>
  <c r="D1126" i="1"/>
  <c r="D1507" i="1"/>
  <c r="D5431" i="1"/>
  <c r="D3727" i="1"/>
  <c r="D6626" i="1"/>
  <c r="D3065" i="1"/>
  <c r="D765" i="1"/>
  <c r="D2949" i="1"/>
  <c r="D8140" i="1"/>
  <c r="D3684" i="1"/>
  <c r="D6318" i="1"/>
  <c r="D3699" i="1"/>
  <c r="D7344" i="1"/>
  <c r="D3636" i="1"/>
  <c r="D3697" i="1"/>
  <c r="D6512" i="1"/>
  <c r="D7737" i="1"/>
  <c r="D4826" i="1"/>
  <c r="D7274" i="1"/>
  <c r="D6653" i="1"/>
  <c r="D302" i="1"/>
  <c r="D5824" i="1"/>
  <c r="D461" i="1"/>
  <c r="D5061" i="1"/>
  <c r="D1060" i="1"/>
  <c r="D263" i="1"/>
  <c r="D1079" i="1"/>
  <c r="D5727" i="1"/>
  <c r="D5744" i="1"/>
  <c r="D5514" i="1"/>
  <c r="D4780" i="1"/>
  <c r="D5549" i="1"/>
  <c r="D7987" i="1"/>
  <c r="D2804" i="1"/>
  <c r="D1201" i="1"/>
  <c r="D7897" i="1"/>
  <c r="D1462" i="1"/>
  <c r="D5447" i="1"/>
  <c r="D3458" i="1"/>
  <c r="D188" i="1"/>
  <c r="D3502" i="1"/>
  <c r="D5563" i="1"/>
  <c r="D7088" i="1"/>
  <c r="D4730" i="1"/>
  <c r="D6970" i="1"/>
  <c r="D7192" i="1"/>
  <c r="D8068" i="1"/>
  <c r="D6708" i="1"/>
  <c r="D4451" i="1"/>
  <c r="D7065" i="1"/>
  <c r="D2981" i="1"/>
  <c r="D3860" i="1"/>
  <c r="D7955" i="1"/>
  <c r="D4030" i="1"/>
  <c r="D5157" i="1"/>
  <c r="D5698" i="1"/>
  <c r="D5314" i="1"/>
  <c r="D623" i="1"/>
  <c r="D4548" i="1"/>
  <c r="D1314" i="1"/>
  <c r="D4639" i="1"/>
  <c r="D3983" i="1"/>
  <c r="D5565" i="1"/>
  <c r="D2407" i="1"/>
  <c r="D5455" i="1"/>
  <c r="D2334" i="1"/>
  <c r="D3580" i="1"/>
  <c r="D1469" i="1"/>
  <c r="D3665" i="1"/>
  <c r="D6827" i="1"/>
  <c r="D5890" i="1"/>
  <c r="D427" i="1"/>
  <c r="D1378" i="1"/>
  <c r="D6968" i="1"/>
  <c r="D4586" i="1"/>
  <c r="D3617" i="1"/>
  <c r="D6279" i="1"/>
  <c r="D8037" i="1"/>
  <c r="D4678" i="1"/>
  <c r="D6972" i="1"/>
  <c r="D3153" i="1"/>
  <c r="D4058" i="1"/>
  <c r="D3568" i="1"/>
  <c r="D1306" i="1"/>
  <c r="D6008" i="1"/>
  <c r="D3286" i="1"/>
  <c r="D106" i="1"/>
  <c r="D5703" i="1"/>
  <c r="D6386" i="1"/>
  <c r="D4710" i="1"/>
  <c r="D5408" i="1"/>
  <c r="D7235" i="1"/>
  <c r="D7982" i="1"/>
  <c r="D3490" i="1"/>
  <c r="D7905" i="1"/>
  <c r="D2416" i="1"/>
  <c r="D7739" i="1"/>
  <c r="D3184" i="1"/>
  <c r="D5067" i="1"/>
  <c r="D7920" i="1"/>
  <c r="D2627" i="1"/>
  <c r="D5490" i="1"/>
  <c r="D5795" i="1"/>
  <c r="D719" i="1"/>
  <c r="D134" i="1"/>
  <c r="D4311" i="1"/>
  <c r="D7226" i="1"/>
  <c r="D5487" i="1"/>
  <c r="D7976" i="1"/>
  <c r="D1869" i="1"/>
  <c r="D5141" i="1"/>
  <c r="D3457" i="1"/>
  <c r="D1305" i="1"/>
  <c r="D5046" i="1"/>
  <c r="D2460" i="1"/>
  <c r="D8132" i="1"/>
  <c r="D1080" i="1"/>
  <c r="D3623" i="1"/>
  <c r="D8153" i="1"/>
  <c r="D8646" i="1"/>
  <c r="D6514" i="1"/>
  <c r="D6404" i="1"/>
  <c r="D4718" i="1"/>
  <c r="D1403" i="1"/>
  <c r="D5552" i="1"/>
  <c r="D1419" i="1"/>
  <c r="D1322" i="1"/>
  <c r="D8490" i="1"/>
  <c r="D7189" i="1"/>
  <c r="D7563" i="1"/>
  <c r="D1284" i="1"/>
  <c r="D8135" i="1"/>
  <c r="D3607" i="1"/>
  <c r="D5612" i="1"/>
  <c r="D653" i="1"/>
  <c r="D6589" i="1"/>
  <c r="D3743" i="1"/>
  <c r="D7160" i="1"/>
  <c r="D8390" i="1"/>
  <c r="D4022" i="1"/>
  <c r="D5526" i="1"/>
  <c r="D5515" i="1"/>
  <c r="D1407" i="1"/>
  <c r="D108" i="1"/>
  <c r="D1422" i="1"/>
  <c r="D655" i="1"/>
  <c r="D7898" i="1"/>
  <c r="D5044" i="1"/>
  <c r="D7912" i="1"/>
  <c r="D1303" i="1"/>
  <c r="D1857" i="1"/>
  <c r="D718" i="1"/>
  <c r="D6815" i="1"/>
  <c r="D7855" i="1"/>
  <c r="D938" i="1"/>
  <c r="D231" i="1"/>
  <c r="D7121" i="1"/>
  <c r="D186" i="1"/>
  <c r="D4677" i="1"/>
  <c r="D254" i="1"/>
  <c r="D962" i="1"/>
  <c r="D1268" i="1"/>
  <c r="D7728" i="1"/>
  <c r="D5505" i="1"/>
  <c r="D5542" i="1"/>
  <c r="D7016" i="1"/>
  <c r="D989" i="1"/>
  <c r="D6207" i="1"/>
  <c r="D439" i="1"/>
  <c r="D6541" i="1"/>
  <c r="D3423" i="1"/>
  <c r="D2967" i="1"/>
  <c r="D4657" i="1"/>
  <c r="D6577" i="1"/>
  <c r="D6685" i="1"/>
  <c r="D1693" i="1"/>
  <c r="D6640" i="1"/>
  <c r="D7925" i="1"/>
  <c r="D2578" i="1"/>
  <c r="D3799" i="1"/>
  <c r="D3217" i="1"/>
  <c r="D299" i="1"/>
  <c r="D1297" i="1"/>
  <c r="D3040" i="1"/>
  <c r="D459" i="1"/>
  <c r="D4819" i="1"/>
  <c r="D2705" i="1"/>
  <c r="D7566" i="1"/>
  <c r="D5959" i="1"/>
  <c r="D1113" i="1"/>
  <c r="D3621" i="1"/>
  <c r="D3199" i="1"/>
  <c r="D1363" i="1"/>
  <c r="D2685" i="1"/>
  <c r="D4600" i="1"/>
  <c r="D7586" i="1"/>
  <c r="D5800" i="1"/>
  <c r="D3859" i="1"/>
  <c r="D1686" i="1"/>
  <c r="D1087" i="1"/>
  <c r="D2421" i="1"/>
  <c r="D1057" i="1"/>
  <c r="D2516" i="1"/>
  <c r="D8650" i="1"/>
  <c r="D2925" i="1"/>
  <c r="D2728" i="1"/>
  <c r="D8282" i="1"/>
  <c r="D4444" i="1"/>
  <c r="D7172" i="1"/>
  <c r="D7389" i="1"/>
  <c r="D7969" i="1"/>
  <c r="D444" i="1"/>
  <c r="D261" i="1"/>
  <c r="D5255" i="1"/>
  <c r="D197" i="1"/>
  <c r="D5125" i="1"/>
  <c r="D8063" i="1"/>
  <c r="D2620" i="1"/>
  <c r="D2622" i="1"/>
  <c r="D3099" i="1"/>
  <c r="D8271" i="1"/>
  <c r="D1370" i="1"/>
  <c r="D4447" i="1"/>
  <c r="D6951" i="1"/>
  <c r="D5886" i="1"/>
  <c r="D7907" i="1"/>
  <c r="D772" i="1"/>
  <c r="D7922" i="1"/>
  <c r="D939" i="1"/>
  <c r="D2850" i="1"/>
  <c r="D4567" i="1"/>
  <c r="D5459" i="1"/>
  <c r="D1448" i="1"/>
  <c r="D4410" i="1"/>
  <c r="D1446" i="1"/>
  <c r="D1323" i="1"/>
  <c r="D1460" i="1"/>
  <c r="D4911" i="1"/>
  <c r="D1009" i="1"/>
  <c r="D3429" i="1"/>
  <c r="D1350" i="1"/>
  <c r="D5478" i="1"/>
  <c r="D5032" i="1"/>
  <c r="D543" i="1"/>
  <c r="D2623" i="1"/>
  <c r="D8703" i="1"/>
  <c r="D605" i="1"/>
  <c r="D1930" i="1"/>
  <c r="D4409" i="1"/>
  <c r="D5504" i="1"/>
  <c r="D657" i="1"/>
  <c r="D5355" i="1"/>
  <c r="D5324" i="1"/>
  <c r="D6735" i="1"/>
  <c r="D5865" i="1"/>
  <c r="D121" i="1"/>
  <c r="D6431" i="1"/>
  <c r="D7537" i="1"/>
  <c r="D5425" i="1"/>
  <c r="D3873" i="1"/>
  <c r="D606" i="1"/>
  <c r="D1847" i="1"/>
  <c r="D3958" i="1"/>
  <c r="D1752" i="1"/>
  <c r="D5078" i="1"/>
  <c r="D3459" i="1"/>
  <c r="D4774" i="1"/>
  <c r="D467" i="1"/>
  <c r="D3048" i="1"/>
  <c r="D2913" i="1"/>
  <c r="D7196" i="1"/>
  <c r="D8682" i="1"/>
  <c r="D2378" i="1"/>
  <c r="D4724" i="1"/>
  <c r="D5989" i="1"/>
  <c r="D1083" i="1"/>
  <c r="D5419" i="1"/>
  <c r="D8075" i="1"/>
  <c r="D5937" i="1"/>
  <c r="D3774" i="1"/>
  <c r="D7154" i="1"/>
  <c r="D7124" i="1"/>
  <c r="D5547" i="1"/>
  <c r="D7071" i="1"/>
  <c r="D2515" i="1"/>
  <c r="D8568" i="1"/>
  <c r="D7938" i="1"/>
  <c r="D2629" i="1"/>
  <c r="D5837" i="1"/>
  <c r="D4645" i="1"/>
  <c r="D7787" i="1"/>
  <c r="D5568" i="1"/>
  <c r="D2853" i="1"/>
  <c r="D7971" i="1"/>
  <c r="D1364" i="1"/>
  <c r="D6974" i="1"/>
  <c r="D7215" i="1"/>
  <c r="D2474" i="1"/>
  <c r="D7077" i="1"/>
  <c r="D7929" i="1"/>
  <c r="D4373" i="1"/>
  <c r="D1697" i="1"/>
  <c r="D5660" i="1"/>
  <c r="D3872" i="1"/>
  <c r="D8374" i="1"/>
  <c r="D4226" i="1"/>
  <c r="D7080" i="1"/>
  <c r="D176" i="1"/>
  <c r="D1858" i="1"/>
  <c r="D5750" i="1"/>
  <c r="D760" i="1"/>
  <c r="D4902" i="1"/>
  <c r="D7548" i="1"/>
  <c r="D2780" i="1"/>
  <c r="D3606" i="1"/>
  <c r="D6630" i="1"/>
  <c r="D1255" i="1"/>
  <c r="D1868" i="1"/>
  <c r="D497" i="1"/>
  <c r="D7228" i="1"/>
  <c r="D3874" i="1"/>
  <c r="D6702" i="1"/>
  <c r="D1124" i="1"/>
  <c r="D4339" i="1"/>
  <c r="D1420" i="1"/>
  <c r="D4225" i="1"/>
  <c r="D7874" i="1"/>
  <c r="D7852" i="1"/>
  <c r="D5420" i="1"/>
  <c r="D7923" i="1"/>
  <c r="D8088" i="1"/>
  <c r="D5050" i="1"/>
  <c r="D1179" i="1"/>
  <c r="D7174" i="1"/>
  <c r="D3047" i="1"/>
  <c r="D4891" i="1"/>
  <c r="D3706" i="1"/>
  <c r="D2937" i="1"/>
  <c r="D7760" i="1"/>
  <c r="D190" i="1"/>
  <c r="D6647" i="1"/>
  <c r="D1062" i="1"/>
  <c r="D609" i="1"/>
  <c r="D4863" i="1"/>
  <c r="D4163" i="1"/>
  <c r="D3625" i="1"/>
  <c r="D8107" i="1"/>
  <c r="D4075" i="1"/>
  <c r="D1070" i="1"/>
  <c r="D602" i="1"/>
  <c r="D1102" i="1"/>
  <c r="D8152" i="1"/>
  <c r="D6830" i="1"/>
  <c r="D4416" i="1"/>
  <c r="D5809" i="1"/>
  <c r="D385" i="1"/>
  <c r="D7448" i="1"/>
  <c r="D5040" i="1"/>
  <c r="D6788" i="1"/>
  <c r="D7035" i="1"/>
  <c r="D4927" i="1"/>
  <c r="D3609" i="1"/>
  <c r="D7220" i="1"/>
  <c r="D6638" i="1"/>
  <c r="D7738" i="1"/>
  <c r="D2523" i="1"/>
  <c r="D2522" i="1"/>
  <c r="D4929" i="1"/>
  <c r="D8478" i="1"/>
  <c r="D3894" i="1"/>
  <c r="D8489" i="1"/>
  <c r="D8493" i="1"/>
  <c r="D7164" i="1"/>
  <c r="D7123" i="1"/>
  <c r="D649" i="1"/>
  <c r="D7910" i="1"/>
  <c r="D2882" i="1"/>
  <c r="D7994" i="1"/>
  <c r="D4624" i="1"/>
  <c r="D5988" i="1"/>
  <c r="D1851" i="1"/>
  <c r="D5073" i="1"/>
  <c r="D4825" i="1"/>
  <c r="D5452" i="1"/>
  <c r="D5349" i="1"/>
  <c r="D2457" i="1"/>
  <c r="D2447" i="1"/>
  <c r="D198" i="1"/>
  <c r="D358" i="1"/>
  <c r="D7391" i="1"/>
  <c r="D2366" i="1"/>
  <c r="D6293" i="1"/>
  <c r="D1443" i="1"/>
  <c r="D8569" i="1"/>
  <c r="D3289" i="1"/>
  <c r="D6191" i="1"/>
  <c r="D3955" i="1"/>
  <c r="D2940" i="1"/>
  <c r="D1875" i="1"/>
  <c r="D603" i="1"/>
  <c r="D4598" i="1"/>
  <c r="D1671" i="1"/>
  <c r="D601" i="1"/>
  <c r="D4924" i="1"/>
  <c r="D3632" i="1"/>
  <c r="D8027" i="1"/>
  <c r="D5716" i="1"/>
  <c r="D6801" i="1"/>
  <c r="D3878" i="1"/>
  <c r="D5059" i="1"/>
  <c r="D1112" i="1"/>
  <c r="D1876" i="1"/>
  <c r="D1725" i="1"/>
  <c r="D5488" i="1"/>
  <c r="D955" i="1"/>
  <c r="D6969" i="1"/>
  <c r="D7638" i="1"/>
  <c r="D2781" i="1"/>
  <c r="D5471" i="1"/>
  <c r="D5638" i="1"/>
  <c r="D4797" i="1"/>
  <c r="D658" i="1"/>
  <c r="D6232" i="1"/>
  <c r="D960" i="1"/>
  <c r="D3612" i="1"/>
  <c r="D4673" i="1"/>
  <c r="D5379" i="1"/>
  <c r="D7438" i="1"/>
  <c r="D5479" i="1"/>
  <c r="D8163" i="1"/>
  <c r="D2906" i="1"/>
  <c r="D2579" i="1"/>
  <c r="D1698" i="1"/>
  <c r="D8234" i="1"/>
  <c r="D4616" i="1"/>
  <c r="D2986" i="1"/>
  <c r="D3954" i="1"/>
  <c r="D3911" i="1"/>
  <c r="D5209" i="1"/>
  <c r="D3540" i="1"/>
  <c r="D4296" i="1"/>
  <c r="D7986" i="1"/>
  <c r="D5360" i="1"/>
  <c r="D5079" i="1"/>
  <c r="D3800" i="1"/>
  <c r="D1455" i="1"/>
  <c r="D6024" i="1"/>
  <c r="D7567" i="1"/>
  <c r="D5550" i="1"/>
  <c r="D7872" i="1"/>
  <c r="D1130" i="1"/>
  <c r="D5838" i="1"/>
  <c r="D2846" i="1"/>
  <c r="D7191" i="1"/>
  <c r="D4893" i="1"/>
  <c r="D4463" i="1"/>
  <c r="D7238" i="1"/>
  <c r="D2952" i="1"/>
  <c r="D5551" i="1"/>
  <c r="D4459" i="1"/>
  <c r="D7309" i="1"/>
  <c r="D3934" i="1"/>
  <c r="D5576" i="1"/>
  <c r="D4644" i="1"/>
  <c r="D8717" i="1"/>
  <c r="D7063" i="1"/>
  <c r="D2894" i="1"/>
  <c r="D5571" i="1"/>
  <c r="D5751" i="1"/>
  <c r="D4922" i="1"/>
  <c r="D5807" i="1"/>
  <c r="D1436" i="1"/>
  <c r="D7877" i="1"/>
  <c r="D4676" i="1"/>
  <c r="D5076" i="1"/>
  <c r="D3790" i="1"/>
  <c r="D5670" i="1"/>
  <c r="D5721" i="1"/>
  <c r="D3282" i="1"/>
  <c r="D177" i="1"/>
  <c r="D6006" i="1"/>
  <c r="D7615" i="1"/>
  <c r="D7879" i="1"/>
  <c r="D3207" i="1"/>
  <c r="D7881" i="1"/>
  <c r="D2512" i="1"/>
  <c r="D1474" i="1"/>
  <c r="D1854" i="1"/>
  <c r="D5081" i="1"/>
  <c r="D3927" i="1"/>
  <c r="D4556" i="1"/>
  <c r="D5570" i="1"/>
  <c r="D5458" i="1"/>
  <c r="D5709" i="1"/>
  <c r="D2797" i="1"/>
  <c r="D5494" i="1"/>
  <c r="D1427" i="1"/>
  <c r="D6639" i="1"/>
  <c r="D3306" i="1"/>
  <c r="D531" i="1"/>
  <c r="D2843" i="1"/>
  <c r="D2922" i="1"/>
  <c r="D5446" i="1"/>
  <c r="D1941" i="1"/>
  <c r="D105" i="1"/>
  <c r="D3717" i="1"/>
  <c r="D5492" i="1"/>
  <c r="D7989" i="1"/>
  <c r="D4907" i="1"/>
  <c r="D8004" i="1"/>
  <c r="D2938" i="1"/>
  <c r="D1092" i="1"/>
  <c r="D2847" i="1"/>
  <c r="D4605" i="1"/>
  <c r="D1240" i="1"/>
  <c r="D5017" i="1"/>
  <c r="D5759" i="1"/>
  <c r="D3197" i="1"/>
  <c r="D3064" i="1"/>
  <c r="D617" i="1"/>
  <c r="D6000" i="1"/>
  <c r="D2590" i="1"/>
  <c r="D2859" i="1"/>
  <c r="D7333" i="1"/>
  <c r="D6520" i="1"/>
  <c r="D7066" i="1"/>
  <c r="D739" i="1"/>
  <c r="D2931" i="1"/>
  <c r="D2520" i="1"/>
  <c r="D1256" i="1"/>
  <c r="D7223" i="1"/>
  <c r="D5465" i="1"/>
  <c r="D2720" i="1"/>
  <c r="D7726" i="1"/>
  <c r="D654" i="1"/>
  <c r="D7740" i="1"/>
  <c r="D4628" i="1"/>
  <c r="D2805" i="1"/>
  <c r="D7234" i="1"/>
  <c r="D2445" i="1"/>
  <c r="D5476" i="1"/>
  <c r="D5662" i="1"/>
  <c r="D1161" i="1"/>
  <c r="D2893" i="1"/>
  <c r="D3406" i="1"/>
  <c r="D1236" i="1"/>
  <c r="D5290" i="1"/>
  <c r="D3008" i="1"/>
  <c r="D5462" i="1"/>
  <c r="D466" i="1"/>
  <c r="D1254" i="1"/>
  <c r="D195" i="1"/>
  <c r="D5473" i="1"/>
  <c r="D3788" i="1"/>
  <c r="D2575" i="1"/>
  <c r="D3453" i="1"/>
  <c r="D6808" i="1"/>
  <c r="D6779" i="1"/>
  <c r="D944" i="1"/>
  <c r="D5472" i="1"/>
  <c r="D3856" i="1"/>
  <c r="D2722" i="1"/>
  <c r="D7921" i="1"/>
  <c r="D8272" i="1"/>
  <c r="D3114" i="1"/>
  <c r="D7131" i="1"/>
  <c r="D1730" i="1"/>
  <c r="D1865" i="1"/>
  <c r="D6003" i="1"/>
  <c r="D8280" i="1"/>
  <c r="D3938" i="1"/>
  <c r="D2654" i="1"/>
  <c r="D3680" i="1"/>
  <c r="D5474" i="1"/>
  <c r="D914" i="1"/>
  <c r="D212" i="1"/>
  <c r="D8383" i="1"/>
  <c r="D4864" i="1"/>
  <c r="D2339" i="1"/>
  <c r="D3177" i="1"/>
  <c r="D7742" i="1"/>
  <c r="D1216" i="1"/>
  <c r="D7486" i="1"/>
  <c r="D4065" i="1"/>
  <c r="D5819" i="1"/>
  <c r="D1065" i="1"/>
  <c r="D2609" i="1"/>
  <c r="D5007" i="1"/>
  <c r="D207" i="1"/>
  <c r="D4807" i="1"/>
  <c r="D5501" i="1"/>
  <c r="D5060" i="1"/>
  <c r="D7338" i="1"/>
  <c r="D2902" i="1"/>
  <c r="D2924" i="1"/>
  <c r="D3875" i="1"/>
  <c r="D3378" i="1"/>
  <c r="D3696" i="1"/>
  <c r="D1218" i="1"/>
  <c r="D5175" i="1"/>
  <c r="D4956" i="1"/>
  <c r="D3838" i="1"/>
  <c r="D703" i="1"/>
  <c r="D1234" i="1"/>
  <c r="D1932" i="1"/>
  <c r="D4559" i="1"/>
  <c r="D5684" i="1"/>
  <c r="D3785" i="1"/>
  <c r="D5273" i="1"/>
  <c r="D3387" i="1"/>
  <c r="D5397" i="1"/>
  <c r="D3761" i="1"/>
  <c r="D2621" i="1"/>
  <c r="D2676" i="1"/>
  <c r="D5605" i="1"/>
  <c r="D7885" i="1"/>
  <c r="D8721" i="1"/>
  <c r="D1690" i="1"/>
  <c r="D4827" i="1"/>
  <c r="D5589" i="1"/>
  <c r="D2969" i="1"/>
  <c r="D1750" i="1"/>
  <c r="D2483" i="1"/>
  <c r="D2576" i="1"/>
  <c r="D1123" i="1"/>
  <c r="D6531" i="1"/>
  <c r="D5843" i="1"/>
  <c r="D4947" i="1"/>
  <c r="D1072" i="1"/>
  <c r="D7463" i="1"/>
  <c r="D2441" i="1"/>
  <c r="D1859" i="1"/>
  <c r="D1717" i="1"/>
  <c r="D7117" i="1"/>
  <c r="D7974" i="1"/>
  <c r="D1241" i="1"/>
  <c r="D5535" i="1"/>
  <c r="D8547" i="1"/>
  <c r="D1877" i="1"/>
  <c r="D6346" i="1"/>
  <c r="D6901" i="1"/>
  <c r="D3864" i="1"/>
  <c r="D7981" i="1"/>
  <c r="D2687" i="1"/>
  <c r="D3564" i="1"/>
  <c r="D7323" i="1"/>
  <c r="D7227" i="1"/>
  <c r="D4370" i="1"/>
  <c r="D7248" i="1"/>
  <c r="D6277" i="1"/>
  <c r="D2939" i="1"/>
  <c r="D2892" i="1"/>
  <c r="D463" i="1"/>
  <c r="D2511" i="1"/>
  <c r="D6585" i="1"/>
  <c r="D6250" i="1"/>
  <c r="D8567" i="1"/>
  <c r="D7135" i="1"/>
  <c r="D7078" i="1"/>
  <c r="D7873" i="1"/>
  <c r="D2521" i="1"/>
  <c r="D6278" i="1"/>
  <c r="D2671" i="1"/>
  <c r="D6580" i="1"/>
  <c r="D1290" i="1"/>
  <c r="D8557" i="1"/>
  <c r="D8146" i="1"/>
  <c r="D3855" i="1"/>
  <c r="D7961" i="1"/>
  <c r="D3155" i="1"/>
  <c r="D3581" i="1"/>
  <c r="D5056" i="1"/>
  <c r="D2425" i="1"/>
  <c r="D3283" i="1"/>
  <c r="D6883" i="1"/>
  <c r="D1674" i="1"/>
  <c r="D7850" i="1"/>
  <c r="D4060" i="1"/>
  <c r="D4923" i="1"/>
  <c r="D2509" i="1"/>
  <c r="D1878" i="1"/>
  <c r="D1261" i="1"/>
  <c r="D2503" i="1"/>
  <c r="D2625" i="1"/>
  <c r="D2591" i="1"/>
  <c r="D5574" i="1"/>
  <c r="D4767" i="1"/>
  <c r="D8003" i="1"/>
  <c r="D3039" i="1"/>
  <c r="D293" i="1"/>
  <c r="D3011" i="1"/>
  <c r="D5236" i="1"/>
  <c r="D3531" i="1"/>
  <c r="D2920" i="1"/>
  <c r="D5412" i="1"/>
  <c r="D5486" i="1"/>
  <c r="D7856" i="1"/>
  <c r="D4615" i="1"/>
  <c r="D561" i="1"/>
  <c r="D7975" i="1"/>
  <c r="D1702" i="1"/>
  <c r="D4871" i="1"/>
  <c r="D7812" i="1"/>
  <c r="D5160" i="1"/>
  <c r="D259" i="1"/>
  <c r="D6849" i="1"/>
  <c r="D757" i="1"/>
  <c r="D7073" i="1"/>
  <c r="D3811" i="1"/>
  <c r="D4703" i="1"/>
  <c r="D6793" i="1"/>
  <c r="D5162" i="1"/>
  <c r="D1438" i="1"/>
  <c r="D5080" i="1"/>
  <c r="D7311" i="1"/>
  <c r="D2896" i="1"/>
  <c r="D5566" i="1"/>
  <c r="D5375" i="1"/>
  <c r="D2948" i="1"/>
  <c r="D612" i="1"/>
  <c r="D2455" i="1"/>
  <c r="D2640" i="1"/>
  <c r="D7741" i="1"/>
  <c r="D3285" i="1"/>
  <c r="D5493" i="1"/>
  <c r="D2438" i="1"/>
  <c r="D7308" i="1"/>
  <c r="D2923" i="1"/>
  <c r="D5315" i="1"/>
  <c r="D3808" i="1"/>
  <c r="D3122" i="1"/>
  <c r="D4817" i="1"/>
  <c r="D453" i="1"/>
  <c r="D3203" i="1"/>
  <c r="D139" i="1"/>
  <c r="D5108" i="1"/>
  <c r="D717" i="1"/>
  <c r="D2719" i="1"/>
  <c r="D6209" i="1"/>
  <c r="D5869" i="1"/>
  <c r="D3462" i="1"/>
  <c r="D5107" i="1"/>
  <c r="D7911" i="1"/>
  <c r="D4654" i="1"/>
  <c r="D7888" i="1"/>
  <c r="D4656" i="1"/>
  <c r="D260" i="1"/>
  <c r="D6285" i="1"/>
  <c r="D6805" i="1"/>
  <c r="D8085" i="1"/>
  <c r="D7210" i="1"/>
  <c r="D5717" i="1"/>
  <c r="D5064" i="1"/>
  <c r="D5562" i="1"/>
  <c r="D1949" i="1"/>
  <c r="D5540" i="1"/>
  <c r="D535" i="1"/>
  <c r="D6253" i="1"/>
  <c r="D1260" i="1"/>
  <c r="D3687" i="1"/>
  <c r="D2599" i="1"/>
  <c r="D7777" i="1"/>
  <c r="D1552" i="1"/>
</calcChain>
</file>

<file path=xl/sharedStrings.xml><?xml version="1.0" encoding="utf-8"?>
<sst xmlns="http://schemas.openxmlformats.org/spreadsheetml/2006/main" count="26228" uniqueCount="16417">
  <si>
    <t>Bergin, Joseph</t>
  </si>
  <si>
    <t>Lawler, Peter</t>
  </si>
  <si>
    <t>Metcalfe, Stan</t>
  </si>
  <si>
    <t>Leppin, Hartmut</t>
  </si>
  <si>
    <t>Günther, Frieder</t>
  </si>
  <si>
    <t>Fielding, Steven</t>
  </si>
  <si>
    <t>Papadimitriou, Dimitris</t>
  </si>
  <si>
    <t>Hrachovec, Herbert</t>
  </si>
  <si>
    <t>Pichler, Alois</t>
  </si>
  <si>
    <t>Krönung, Bettina</t>
  </si>
  <si>
    <t>Bath, Corinna</t>
  </si>
  <si>
    <t>Adams, Jonathan</t>
  </si>
  <si>
    <t>Keil, Wilfried E.</t>
  </si>
  <si>
    <t>Schultz, Sandra</t>
  </si>
  <si>
    <t>Riva, Giuseppe</t>
  </si>
  <si>
    <t>Spieß, Constanze</t>
  </si>
  <si>
    <t>Martín-Monje, Elena</t>
  </si>
  <si>
    <t>Davy, Ulrike</t>
  </si>
  <si>
    <t>Schröder, Bianca-Jeanette</t>
  </si>
  <si>
    <t>Schneider, Hans</t>
  </si>
  <si>
    <t>Tomuschat, Christian</t>
  </si>
  <si>
    <t>Starck, Christian</t>
  </si>
  <si>
    <t>Steinberger, Helmut</t>
  </si>
  <si>
    <t>Anschütz, Gerhard</t>
  </si>
  <si>
    <t>Denninger, Erhard</t>
  </si>
  <si>
    <t>Götz, Volkmar</t>
  </si>
  <si>
    <t>Papier, Hans-Jürgen</t>
  </si>
  <si>
    <t>Saladin, Peter</t>
  </si>
  <si>
    <t>Bülck, Hartwig</t>
  </si>
  <si>
    <t>Hippel, Ernst von</t>
  </si>
  <si>
    <t>Bernhardt, Rudolf</t>
  </si>
  <si>
    <t>Leibholz, Gerhard</t>
  </si>
  <si>
    <t>Bäumlin, Richard</t>
  </si>
  <si>
    <t>Eibl, Franz</t>
  </si>
  <si>
    <t>Lindemann, Mechthild</t>
  </si>
  <si>
    <t>Lopez-Vazquez, C. M.</t>
  </si>
  <si>
    <t>Schmidt, Michael</t>
  </si>
  <si>
    <t>Groß, Dominik</t>
  </si>
  <si>
    <t>Volmert, Barbara</t>
  </si>
  <si>
    <t>Holzapfel, Helmut</t>
  </si>
  <si>
    <t>Gossman, Lionel</t>
  </si>
  <si>
    <t>Warman, Caroline</t>
  </si>
  <si>
    <t>Cruz, Jean-François</t>
  </si>
  <si>
    <t>Gasselin, Pierre</t>
  </si>
  <si>
    <t>Brunner, Detlev</t>
  </si>
  <si>
    <t>Kosthorst, Daniel</t>
  </si>
  <si>
    <t>Kramer, Martin</t>
  </si>
  <si>
    <t>Meyrav, Yoav</t>
  </si>
  <si>
    <t>Bergeret, Pascal</t>
  </si>
  <si>
    <t>Foitzik, Jan</t>
  </si>
  <si>
    <t>Kimmich, Flora</t>
  </si>
  <si>
    <t>Bricas, Nicolas</t>
  </si>
  <si>
    <t>Daviron, Benoit</t>
  </si>
  <si>
    <t>Welti, Felix</t>
  </si>
  <si>
    <t>Valceschini, Egizio</t>
  </si>
  <si>
    <t>Küpper, Joachim</t>
  </si>
  <si>
    <t>Veltri, Giuseppe</t>
  </si>
  <si>
    <t>Pawlita, Leonie</t>
  </si>
  <si>
    <t>Council of Europe / Conseil de l'Europe, Council of</t>
  </si>
  <si>
    <t>Bulgarelli, Daniela</t>
  </si>
  <si>
    <t>Bolle, Katharina</t>
  </si>
  <si>
    <t>Opdenhoff, Fanny</t>
  </si>
  <si>
    <t>Friedrich, Michael</t>
  </si>
  <si>
    <t>Hrncal, Christine</t>
  </si>
  <si>
    <t>van Schendel, Willem</t>
  </si>
  <si>
    <t>Eckel, Julia</t>
  </si>
  <si>
    <t>Locane, Jorge J.</t>
  </si>
  <si>
    <t>de Lange, Michiel</t>
  </si>
  <si>
    <t>Leipziger, Jonas</t>
  </si>
  <si>
    <t>Filatkina, Natalia</t>
  </si>
  <si>
    <t>O'Higgins, Timothy G.</t>
  </si>
  <si>
    <t>Klauber, Jürgen</t>
  </si>
  <si>
    <t>Nisky, Ilana</t>
  </si>
  <si>
    <t>Curry, Edward</t>
  </si>
  <si>
    <t>Paasivaara, Maria</t>
  </si>
  <si>
    <t>Michaelsen, Marcus</t>
  </si>
  <si>
    <t>Gilbert, Claude</t>
  </si>
  <si>
    <t>Hodler, Juerg</t>
  </si>
  <si>
    <t>Laroche, Hervé</t>
  </si>
  <si>
    <t>Meusburger, Peter</t>
  </si>
  <si>
    <t>Matei, Liviu</t>
  </si>
  <si>
    <t>Chaturvedi, Sachin</t>
  </si>
  <si>
    <t>von Braun, Joachim</t>
  </si>
  <si>
    <t>Knorre, Susanne</t>
  </si>
  <si>
    <t>Neuenschwander, Markus P.</t>
  </si>
  <si>
    <t>Jankowicz-Cieslak, Joanna</t>
  </si>
  <si>
    <t>Fraillon, Julian</t>
  </si>
  <si>
    <t>Lange, Sebastian</t>
  </si>
  <si>
    <t>Zademach, Hans-Martin</t>
  </si>
  <si>
    <t>Domingue, John</t>
  </si>
  <si>
    <t>Galis, Alex</t>
  </si>
  <si>
    <t>Schmidt, Werner</t>
  </si>
  <si>
    <t>Simonson, Julia</t>
  </si>
  <si>
    <t>Kaya, Ayhan</t>
  </si>
  <si>
    <t>Schulz, Wolfram</t>
  </si>
  <si>
    <t>Mütze-Niewöhner, Susanne</t>
  </si>
  <si>
    <t>Peters, Anne</t>
  </si>
  <si>
    <t>Lepiller, Olivier</t>
  </si>
  <si>
    <t>Wang, Chi-yuen</t>
  </si>
  <si>
    <t>Leal Filho, Walter</t>
  </si>
  <si>
    <t>Gamerschlag, Thomas</t>
  </si>
  <si>
    <t>Haliva, Racheli</t>
  </si>
  <si>
    <t>Olk, Claudia</t>
  </si>
  <si>
    <t>Haug, Annette</t>
  </si>
  <si>
    <t>Imo, Wolfgang</t>
  </si>
  <si>
    <t>Bielefeldt, Heiner</t>
  </si>
  <si>
    <t>Müller, Gesine</t>
  </si>
  <si>
    <t>Bohlender, Matthias</t>
  </si>
  <si>
    <t>Bebnowski, David</t>
  </si>
  <si>
    <t>König, Helmut</t>
  </si>
  <si>
    <t>Klatt, Johanna</t>
  </si>
  <si>
    <t>Grell, Britta</t>
  </si>
  <si>
    <t>Havard, Michel</t>
  </si>
  <si>
    <t>Morand, Serge</t>
  </si>
  <si>
    <t>Blumenreich, Ulrike</t>
  </si>
  <si>
    <t>Marchart, Oliver</t>
  </si>
  <si>
    <t>Herlth, Jens</t>
  </si>
  <si>
    <t>Huke, Nikolai</t>
  </si>
  <si>
    <t>Brunnengräber, Achim</t>
  </si>
  <si>
    <t>Moser, Evelyn</t>
  </si>
  <si>
    <t>Knaller, Susanne</t>
  </si>
  <si>
    <t>Peterlini, Hans Karl</t>
  </si>
  <si>
    <t>Higgins, Marc</t>
  </si>
  <si>
    <t>Wendschlag, Mikael</t>
  </si>
  <si>
    <t>Geschwind, Lars</t>
  </si>
  <si>
    <t>Ferrer-Rosell, Berta</t>
  </si>
  <si>
    <t>Uesugi, Yuji</t>
  </si>
  <si>
    <t>Doležalová, Lenka</t>
  </si>
  <si>
    <t>Stadlerová, Hana</t>
  </si>
  <si>
    <t>Pořízková, Kateřina</t>
  </si>
  <si>
    <t>Artimová, Jozefa</t>
  </si>
  <si>
    <t>Švanda, Libor</t>
  </si>
  <si>
    <t>Janík, Tomáš</t>
  </si>
  <si>
    <t>Adámková, Lenka</t>
  </si>
  <si>
    <t>Šeráková, Hana</t>
  </si>
  <si>
    <t>Grůzová, Lucie</t>
  </si>
  <si>
    <t>Musil, Ondřej</t>
  </si>
  <si>
    <t>Hanuš, Jiří</t>
  </si>
  <si>
    <t>Hofmann, Eduard</t>
  </si>
  <si>
    <t>Svobodová, Hana</t>
  </si>
  <si>
    <t>Lazarová, Bohumíra</t>
  </si>
  <si>
    <t>Odehnalová, Lenka</t>
  </si>
  <si>
    <t>Činčera, Jan</t>
  </si>
  <si>
    <t>Brücknerová, Karla</t>
  </si>
  <si>
    <t>Bakešová, Václava</t>
  </si>
  <si>
    <t>Nowicka, Magdalena</t>
  </si>
  <si>
    <t>Campos, Hugo</t>
  </si>
  <si>
    <t>Kimminich, Eva</t>
  </si>
  <si>
    <t>Pütz, Robert</t>
  </si>
  <si>
    <t>Moser, Jeannie</t>
  </si>
  <si>
    <t>Löw, Martina</t>
  </si>
  <si>
    <t>Mißfelder, Jan-Friedrich</t>
  </si>
  <si>
    <t>John, Jennifer</t>
  </si>
  <si>
    <t>Adloff, Frank</t>
  </si>
  <si>
    <t>Dankwa, Serena O.</t>
  </si>
  <si>
    <t>Purtschert, Patricia</t>
  </si>
  <si>
    <t>Martinsen, Franziska</t>
  </si>
  <si>
    <t>Kelsch, Jakob</t>
  </si>
  <si>
    <t>Lehmann, Hauke</t>
  </si>
  <si>
    <t>Ouaissa, Rachid</t>
  </si>
  <si>
    <t>Hollstein, Betina</t>
  </si>
  <si>
    <t>Brdjanovic, Damir</t>
  </si>
  <si>
    <t>Quartly, Marian</t>
  </si>
  <si>
    <t>Mannion, Aaron</t>
  </si>
  <si>
    <t>Wäckerlig, Oliver</t>
  </si>
  <si>
    <t>Bertagnolli, Frank</t>
  </si>
  <si>
    <t>Jarke, Juliane</t>
  </si>
  <si>
    <t>Allner, Lukas</t>
  </si>
  <si>
    <t>Müller-Tamm, Jutta</t>
  </si>
  <si>
    <t>Ciotti, Giovanni</t>
  </si>
  <si>
    <t>Gerland, Doris</t>
  </si>
  <si>
    <t>Dell'Anno, Sina</t>
  </si>
  <si>
    <t>Zgoll, Annette</t>
  </si>
  <si>
    <t>Zgoll, Christian</t>
  </si>
  <si>
    <t>Bidmon, Agnes</t>
  </si>
  <si>
    <t>Gertzen, Thomas L.</t>
  </si>
  <si>
    <t>Kiyanrad, Sarah</t>
  </si>
  <si>
    <t>Hasse-Ungeheuer, Alexandra</t>
  </si>
  <si>
    <t>Harm, Volker</t>
  </si>
  <si>
    <t>Hielscher, Adrian</t>
  </si>
  <si>
    <t>Sejdini, Zekirija</t>
  </si>
  <si>
    <t>Petras, Maximilian</t>
  </si>
  <si>
    <t>Ifenthaler, Dirk</t>
  </si>
  <si>
    <t>Thalheim, Karl C.</t>
  </si>
  <si>
    <t>Gieseck, Arne</t>
  </si>
  <si>
    <t>Sering, Max</t>
  </si>
  <si>
    <t>Wilbrandt, Robert</t>
  </si>
  <si>
    <t>Fuchs, Carl Johannes</t>
  </si>
  <si>
    <t>Palyi, Melchior</t>
  </si>
  <si>
    <t>Diehl, Karl</t>
  </si>
  <si>
    <t>Somary, Felix</t>
  </si>
  <si>
    <t>Lotz, Walther</t>
  </si>
  <si>
    <t>Briefs, Goetz</t>
  </si>
  <si>
    <t>Jahn, Georg</t>
  </si>
  <si>
    <t>Vogel, Friedemann</t>
  </si>
  <si>
    <t>Bieder, Corinne</t>
  </si>
  <si>
    <t>Giannakos, Michail</t>
  </si>
  <si>
    <t>Schroeder, Doris</t>
  </si>
  <si>
    <t>Glorius, Birgit</t>
  </si>
  <si>
    <t>Gaikar, Vilas</t>
  </si>
  <si>
    <t>Grau Grau, Marc</t>
  </si>
  <si>
    <t>Triandafyllidou, Anna</t>
  </si>
  <si>
    <t>Cai, Jinfa</t>
  </si>
  <si>
    <t>Gleditsch, Nils Petter</t>
  </si>
  <si>
    <t>Tønnesson, Stein</t>
  </si>
  <si>
    <t>Chan, Alex Chi-keung</t>
  </si>
  <si>
    <t>Ladikas, Miltos</t>
  </si>
  <si>
    <t>Torres López, Tomás</t>
  </si>
  <si>
    <t>Marchena Fernández, Juan</t>
  </si>
  <si>
    <t>Chust, Manuel</t>
  </si>
  <si>
    <t>Sassa, Kyoji</t>
  </si>
  <si>
    <t>Förster, Hans</t>
  </si>
  <si>
    <t>Sobek, Kamil</t>
  </si>
  <si>
    <t>Mísařová, Darina</t>
  </si>
  <si>
    <t>Vlčková, Kateřina</t>
  </si>
  <si>
    <t>Mizerová, Alena</t>
  </si>
  <si>
    <t>Cígler, Vojtěch</t>
  </si>
  <si>
    <t>Slaná, Jitka</t>
  </si>
  <si>
    <t>Drozdová, Eva</t>
  </si>
  <si>
    <t>Kroča, David</t>
  </si>
  <si>
    <t>Mareš, Petr</t>
  </si>
  <si>
    <t>Jarkovská, Lucie</t>
  </si>
  <si>
    <t>Vogel, Radek</t>
  </si>
  <si>
    <t>Slavík, Jan</t>
  </si>
  <si>
    <t>Budínová, Irena</t>
  </si>
  <si>
    <t>Hornkohl, Aaron D.</t>
  </si>
  <si>
    <t>Witchcraft Narratives in Germany : Rothenburg, 1561-1652</t>
  </si>
  <si>
    <t>Manchester University Press</t>
  </si>
  <si>
    <t>Rowlands, Alison</t>
  </si>
  <si>
    <t>Market Relations and the Competitive Process : New Dynamics of Innovation &amp; Competition</t>
  </si>
  <si>
    <t>The Israeli Response to Jewish Extremism and Violence</t>
  </si>
  <si>
    <t>Pedahzur, Ami</t>
  </si>
  <si>
    <t>Aesthetics and Subjectivity : From Kant to Neitzsche</t>
  </si>
  <si>
    <t>Bowie, Andrew</t>
  </si>
  <si>
    <t>Innovation by Demand : An Interdisciplinary Approach to the Study of Demand and Its Role in Innovation</t>
  </si>
  <si>
    <t>McMeekin, Andrew</t>
  </si>
  <si>
    <t>More Than a Game : The Computer Game As Fictional Form</t>
  </si>
  <si>
    <t>Atkins, Barry</t>
  </si>
  <si>
    <t>Federalism and Democratisation in Russia</t>
  </si>
  <si>
    <t>Ross, Cameron</t>
  </si>
  <si>
    <t>The Ideology of the Extreme Right</t>
  </si>
  <si>
    <t>Mudde, Cas</t>
  </si>
  <si>
    <t>The Culture of Toleration in Diverse Societies : Reasonable Tolerance</t>
  </si>
  <si>
    <t>McKinnon, Catriona</t>
  </si>
  <si>
    <t>R. S. Thomas : Identity, Environment, Deity</t>
  </si>
  <si>
    <t>Morgan, Christopher</t>
  </si>
  <si>
    <t>Theory and Reform in the EU</t>
  </si>
  <si>
    <t>Chryssochoou, Dimitris N.</t>
  </si>
  <si>
    <t>Implementing International Environmental Agreements in Russia</t>
  </si>
  <si>
    <t>Hønneland, Geir</t>
  </si>
  <si>
    <t>The Politics Today Companion to West European Politics</t>
  </si>
  <si>
    <t>Jones, Bill</t>
  </si>
  <si>
    <t>Samuel Beckett and the Primacy of Love</t>
  </si>
  <si>
    <t>Keller, John Robert</t>
  </si>
  <si>
    <t>A War of Individuals : Bloomsbury Attitudes to the Great War</t>
  </si>
  <si>
    <t>Atkin, Jonathan</t>
  </si>
  <si>
    <t>Republican Learning : John Toland and the Crisis of Christian Culture, 1696-1722</t>
  </si>
  <si>
    <t>Champion, Justin</t>
  </si>
  <si>
    <t>Gender at Stake : Male Witches in Early Modern Europe</t>
  </si>
  <si>
    <t>Apps, Lara</t>
  </si>
  <si>
    <t>Postcolonial Contraventions : Cultural Readings of Race, Imperalism and Transnationalism</t>
  </si>
  <si>
    <t>Chrisman, Laura</t>
  </si>
  <si>
    <t>Globalisation Contested : An International Political Economy of Work</t>
  </si>
  <si>
    <t>Amoore, Louise</t>
  </si>
  <si>
    <t>Understanding British and European Political Issues</t>
  </si>
  <si>
    <t>McNaughton, Neil</t>
  </si>
  <si>
    <t>George III : King and Politicians 1760-1770</t>
  </si>
  <si>
    <t>Thomas, Peter</t>
  </si>
  <si>
    <t>The International Politics of the Middle East</t>
  </si>
  <si>
    <t>Hinnebusch, Raymond</t>
  </si>
  <si>
    <t>Half the Battle : Civilian Morale in Britain During the Second World War</t>
  </si>
  <si>
    <t>Mackay, Robert</t>
  </si>
  <si>
    <t>The United States Congress</t>
  </si>
  <si>
    <t>English, Ross</t>
  </si>
  <si>
    <t>Fragmenting Modernism : Ford Madox Ford, the Novel and the Great War</t>
  </si>
  <si>
    <t>Haslam, Sara</t>
  </si>
  <si>
    <t>The Asian Financial Crisis : Crisis, Reform and Recovery</t>
  </si>
  <si>
    <t>Sharma, Shalendra</t>
  </si>
  <si>
    <t>Mainstreaming Gender, Democratizing the State</t>
  </si>
  <si>
    <t>Rai, Shirin</t>
  </si>
  <si>
    <t>Noblewomen, Aristocracy and Power in the Twelfth-Century Anglo-Norman Realm</t>
  </si>
  <si>
    <t>Johns, Susan M.</t>
  </si>
  <si>
    <t>Fifteen into One? : The European Union and Its Member States</t>
  </si>
  <si>
    <t>Special Relationships : Anglo-American Affinities and Antagonisms 1854-1936</t>
  </si>
  <si>
    <t>Beer, Janet</t>
  </si>
  <si>
    <t>Political Concepts</t>
  </si>
  <si>
    <t>Bellamy, Richard</t>
  </si>
  <si>
    <t>Francis Bacon's New Atlantis : New Interdisciplinary Essays</t>
  </si>
  <si>
    <t>Wallace, Jeff</t>
  </si>
  <si>
    <t>The New Aestheticism</t>
  </si>
  <si>
    <t>Joughin, John J.</t>
  </si>
  <si>
    <t>Women's Writing in Contemporary France : New Writers, New Literatures in The 1990s</t>
  </si>
  <si>
    <t>Rye, Gill</t>
  </si>
  <si>
    <t>The End of Irish History? : Reflections on the Celtic Tiger</t>
  </si>
  <si>
    <t>Coulter, Colin</t>
  </si>
  <si>
    <t>Redefining Security in the Middle East</t>
  </si>
  <si>
    <t>Mapping European Security after Kosovo</t>
  </si>
  <si>
    <t>Van Ham, Peter</t>
  </si>
  <si>
    <t>Potentials of Disorder : Explaining Conflict and Stability in the Caucasus and in the Former Yugoslavia</t>
  </si>
  <si>
    <t>Koehler, Jan</t>
  </si>
  <si>
    <t>Judicial Tribunals in England and Europe, 1200-1700 : The Trial in History, Volume I</t>
  </si>
  <si>
    <t>Mulholland, Maureen</t>
  </si>
  <si>
    <t>Memory and Popular Film</t>
  </si>
  <si>
    <t>Jancovich, Mark</t>
  </si>
  <si>
    <t>Domestic and International Trials, 1700-2000 : The trial in history, vol. II</t>
  </si>
  <si>
    <t>Melikan, Rose</t>
  </si>
  <si>
    <t>British Cinema of The 1950s : A Celebration</t>
  </si>
  <si>
    <t>Mackillop, Ian</t>
  </si>
  <si>
    <t>Comprehending Columbine</t>
  </si>
  <si>
    <t>Temple University Press</t>
  </si>
  <si>
    <t>Larkin, Ralph W.</t>
  </si>
  <si>
    <t>Hybridity : The Cultural Logic of Globalization</t>
  </si>
  <si>
    <t>Kraidy, Marwan</t>
  </si>
  <si>
    <t>Just a Dog : Animal Cruelty, Self, and Society</t>
  </si>
  <si>
    <t>Arluke, Arnold</t>
  </si>
  <si>
    <t>Managing Technologies and Automated Library Systems in Developing Countries: Open Source vs Commercial Options : Proceedings of the IFLA Pre-Conference Satellite Meeting Dakar, Sénégal, August 15-16 2007</t>
  </si>
  <si>
    <t>De Gruyter, Inc.</t>
  </si>
  <si>
    <t>Dione, Bernard</t>
  </si>
  <si>
    <t>Measuring Quality : Performance Measurement in Libraries. 2nd Revised Edition</t>
  </si>
  <si>
    <t>Poll, Roswitha</t>
  </si>
  <si>
    <t>Libraries and Information Services Towards the Attainment of the un Millennium Development Goals</t>
  </si>
  <si>
    <t>Njobvu, Benson</t>
  </si>
  <si>
    <t>Corporate Memory : Records and Information Management in the Knowledge Age</t>
  </si>
  <si>
    <t>Megill, Kenneth A.</t>
  </si>
  <si>
    <t>Kaiser Julian 'Apostata' und Die Philosophische Reaktion Gegen das Christentum</t>
  </si>
  <si>
    <t>Schäfer, Christian</t>
  </si>
  <si>
    <t>Inzestverbot und Gesetzgebung : Die Konstruktion Eines Verbrechens (300-1100)</t>
  </si>
  <si>
    <t>Ubl, Karl</t>
  </si>
  <si>
    <t>The Netherlands in a Nutshell : Highlights from Dutch History and Culture</t>
  </si>
  <si>
    <t>Amsterdam University Press</t>
  </si>
  <si>
    <t>van Oostrom, Frits</t>
  </si>
  <si>
    <t>Sounding Off : Rhythm, Music, and Identity in West African and Caribbean Francophone Novels</t>
  </si>
  <si>
    <t>Huntington, Julie</t>
  </si>
  <si>
    <t>Unchopping a Tree : Reconciliation in the Aftermath of Political Violence</t>
  </si>
  <si>
    <t>Verdeja, Ernesto</t>
  </si>
  <si>
    <t>Global Library and Information Science : A Textbook for Students and Educators. with Contributions from Africa, Asia, Australia, New Zealand, Europe, Latin America and the Carribean, the Middle East, and North America</t>
  </si>
  <si>
    <t>Abdullahi, Ismail</t>
  </si>
  <si>
    <t>Library Statistics for the Twenty-First Century World : Proceedings of the Conference Held in Montréal on 18-19 August 2008 Reporting on the Global Library Statistics Project</t>
  </si>
  <si>
    <t>Heaney, Michael</t>
  </si>
  <si>
    <t>Umstrittene Vergangenheit : Historische Argumente in der Auseinandersetzung Augustins Mit Den Donatisten</t>
  </si>
  <si>
    <t>Hogrefe, Arne</t>
  </si>
  <si>
    <t>Strategies for Regenerating the Library and Information Profession</t>
  </si>
  <si>
    <t>Varlejs, Jana</t>
  </si>
  <si>
    <t>Jenseits der Grenzen : Beiträge Zur Spätantiken und Frühmittelalterlichen Geschichtsschreibung</t>
  </si>
  <si>
    <t>Goltz, Andreas</t>
  </si>
  <si>
    <t>Theodor Heuss, Aufbruch Im Kaiserreich : Briefe 1892-1917</t>
  </si>
  <si>
    <t>Guidelines for Legislative Libraries : 2nd, Completely Updated and Enlarged Edition</t>
  </si>
  <si>
    <t>Cuninghame, Keith</t>
  </si>
  <si>
    <t>The History and Cultural Heritage of Chinese Calligraphy, Printing and Library Work</t>
  </si>
  <si>
    <t>Allen, Susan M.</t>
  </si>
  <si>
    <t>Erzbischof Hinkmar und Die Folgen : Der Vierhundertjährige Weg Historischer Erinnerungsbilder Von Reims Nach Trier</t>
  </si>
  <si>
    <t>Schneider, Olaf</t>
  </si>
  <si>
    <t>Hochverehrter Herr Bundespräsident! : Der Briefwechsel Mit der Bevölkerung 1949 - 1959</t>
  </si>
  <si>
    <t>Heuss, Theodor</t>
  </si>
  <si>
    <t>Social Science Libraries : Interdisciplinary Collections, Services, Networks</t>
  </si>
  <si>
    <t>Walter de Gruyter GmbH</t>
  </si>
  <si>
    <t>Witt, Steve W.</t>
  </si>
  <si>
    <t>IFLA Public Library Service Guidelines</t>
  </si>
  <si>
    <t>Koontz, Christie</t>
  </si>
  <si>
    <t>A History of the University of Manchester, 1973-90</t>
  </si>
  <si>
    <t>Pullan, Brian</t>
  </si>
  <si>
    <t>Changing Anarchism : Anarchist Theory and Practice in a Global Age</t>
  </si>
  <si>
    <t>Purkis, Jonathan</t>
  </si>
  <si>
    <t>Understanding Political Ideas and Movements</t>
  </si>
  <si>
    <t>Harrison, Kevin</t>
  </si>
  <si>
    <t>Rethinking European Union Foreign Policy</t>
  </si>
  <si>
    <t>Tonra, Ben</t>
  </si>
  <si>
    <t>Witchcraft Continued : Popular Magic in Modern Europe</t>
  </si>
  <si>
    <t>de Blécourt, Willem</t>
  </si>
  <si>
    <t>EU Development Cooperation : From Model to Symbol</t>
  </si>
  <si>
    <t>Arts, Karin</t>
  </si>
  <si>
    <t>Interpreting the Labour Party : Approaches to Labour Politics and History</t>
  </si>
  <si>
    <t>Callaghan, John</t>
  </si>
  <si>
    <t>Equal Subjects, Unequal Rights : Indigenous People in British Settler Colonies, 1830-1910</t>
  </si>
  <si>
    <t>Evans, Julie</t>
  </si>
  <si>
    <t>Limiting Institutions? : The Challenge of Eurasian Security Governance</t>
  </si>
  <si>
    <t>Hargreaves, Martin</t>
  </si>
  <si>
    <t>Luther's Lives : Two Contemporary Accounts of Martin Luther</t>
  </si>
  <si>
    <t>Vandiver, Elizabeth</t>
  </si>
  <si>
    <t>The Poor in England 1700-1850 : An Economy of Makeshifts</t>
  </si>
  <si>
    <t>Tomkins, Alannah</t>
  </si>
  <si>
    <t>The Kosovo Crisis and the Evolution of a Post-Cold War European Security : The Evolution of Post Cold War European Security</t>
  </si>
  <si>
    <t>Smith, Martin A.</t>
  </si>
  <si>
    <t>The Third Way and Beyond : Criticisms, Futures and Alternatives</t>
  </si>
  <si>
    <t>Hale, Sarah</t>
  </si>
  <si>
    <t>The Conservatives in Crisis</t>
  </si>
  <si>
    <t>Garnett, Mark</t>
  </si>
  <si>
    <t>Qualities of Food</t>
  </si>
  <si>
    <t>Climate Change and the Oil Industry : Common Problem, Varying Strategies</t>
  </si>
  <si>
    <t>Skjaerseth, Jon Birger</t>
  </si>
  <si>
    <t>The United Nations, Intra-State Peacekeeping and Normative Change</t>
  </si>
  <si>
    <t>Aksu, Esref</t>
  </si>
  <si>
    <t>The Forgotten French : Exiles in the British Isles, 1940-44</t>
  </si>
  <si>
    <t>Atkin, Nicholas</t>
  </si>
  <si>
    <t>The Enlightenment and Religion : The Myths of Modernity</t>
  </si>
  <si>
    <t>Barnett, S.</t>
  </si>
  <si>
    <t>The Formation of Croatian National Identity</t>
  </si>
  <si>
    <t>Bellamy, Alex</t>
  </si>
  <si>
    <t>The 'Malleus Maleficarum' and the Construction of Witchcraft : Theology and Popular Belief</t>
  </si>
  <si>
    <t>The Truest Form of Patriotism' : Pacifist Feminism in Britain, 1870-1902</t>
  </si>
  <si>
    <t>Brown, Heloise</t>
  </si>
  <si>
    <t>Democratization Through the Looking-Glass : Comparative Perspectives on Democratization</t>
  </si>
  <si>
    <t>Burnell, Peter</t>
  </si>
  <si>
    <t>'Special Relationship'? : Harold Wilson, Lyndon B Johnson and Anglo-American Relations 'At the Summit', 1964-8</t>
  </si>
  <si>
    <t>Colman, Jonathan</t>
  </si>
  <si>
    <t>The French Party System</t>
  </si>
  <si>
    <t>Evans, Jocelyn</t>
  </si>
  <si>
    <t>The Labour Governments 1964-1970 Volume 1 : Labour and Cultural Change</t>
  </si>
  <si>
    <t>After the New Social Democracy : Social Welfare for the 21st Century</t>
  </si>
  <si>
    <t>Fitzpatrick, Tony</t>
  </si>
  <si>
    <t>Fathers, Pastors and Kings : Visions of Episcopacy in Seventeenth-Century France</t>
  </si>
  <si>
    <t>Forrestal, Alison</t>
  </si>
  <si>
    <t>The länder and German Federalism</t>
  </si>
  <si>
    <t>Gunlicks, Arthur</t>
  </si>
  <si>
    <t>Horseracing and the British, 1919-39</t>
  </si>
  <si>
    <t>Huggins, Mike</t>
  </si>
  <si>
    <t>Louis XIV and the Parlements : The Assertion of Royal Authority</t>
  </si>
  <si>
    <t>Hurt, John J.</t>
  </si>
  <si>
    <t>Germany and the Use of Force</t>
  </si>
  <si>
    <t>Longhurst, Kerry</t>
  </si>
  <si>
    <t>Sweden and Ecological Governance : Straddling the Fence</t>
  </si>
  <si>
    <t>Lundqvist, Lennart</t>
  </si>
  <si>
    <t>The Other Empire : Metropolis, India and Progress in the Colonial Imagination</t>
  </si>
  <si>
    <t>Marriott, John</t>
  </si>
  <si>
    <t>Pulp Fictions of Medieval England : Essays in Popular Romance</t>
  </si>
  <si>
    <t>McDonald, Nicola</t>
  </si>
  <si>
    <t>Rohinton Mistry</t>
  </si>
  <si>
    <t>Morey, Peter</t>
  </si>
  <si>
    <t>Turkey: Facing a New Millennium : Coping with Intertwined Conflicts</t>
  </si>
  <si>
    <t>Nachmani, Amikam</t>
  </si>
  <si>
    <t>Sports Law and Policy in the European Union</t>
  </si>
  <si>
    <t>Parrish, Richard</t>
  </si>
  <si>
    <t>Female Imperialism and National Identity : Imperial Order Daughters of the Empire</t>
  </si>
  <si>
    <t>Pickles, Katie</t>
  </si>
  <si>
    <t>The Political Philosophy of Jean-Jacques Rousseau : The Impossibilty of Reason</t>
  </si>
  <si>
    <t>Qvortrup, Matt</t>
  </si>
  <si>
    <t>West Indian Intellectuals in Britain</t>
  </si>
  <si>
    <t>Schwarz, Bill</t>
  </si>
  <si>
    <t>The Victorian Soldier in Africa</t>
  </si>
  <si>
    <t>Spiers, Edward</t>
  </si>
  <si>
    <t>Destination Europe : The Political and Economic Growth of a Continent</t>
  </si>
  <si>
    <t>Torbiorn, Kjell</t>
  </si>
  <si>
    <t>The Labour Party and the World, Volume 1 : The Evolution of Labour's Foreign Policy, 1900-51</t>
  </si>
  <si>
    <t>Vickers, Rhiannon</t>
  </si>
  <si>
    <t>Handbuch Bibliothek 2. 0</t>
  </si>
  <si>
    <t>Bergmann, Julia</t>
  </si>
  <si>
    <t>Grey Literature in Library and Information Studies</t>
  </si>
  <si>
    <t>Farace, Dominic</t>
  </si>
  <si>
    <t>Krise und Kult : Vorderer Orient und Nordafrika Von Aurelian Bis Justinian</t>
  </si>
  <si>
    <t>Kreikenbom, Detlev</t>
  </si>
  <si>
    <t>How Modern Science Came into the World : Four Civilizations, One 17th-Century Breakthrough</t>
  </si>
  <si>
    <t>Cohen, Floris</t>
  </si>
  <si>
    <t>Modeling Citizenship : Jewish and Asian American Writing</t>
  </si>
  <si>
    <t>Schlund-Vials, Cathy</t>
  </si>
  <si>
    <t>Militärsiedlungen und Territorialherrschaft in der Antike</t>
  </si>
  <si>
    <t>Daubner, Frank</t>
  </si>
  <si>
    <t>Sovereign Justice : Global Justice in a World of Nations</t>
  </si>
  <si>
    <t>Aurelio, Diogo</t>
  </si>
  <si>
    <t>Bilder Schreiben : Virtuose Ekphrasis in Philostrats Eikones</t>
  </si>
  <si>
    <t>Baumann, Mario</t>
  </si>
  <si>
    <t>Der Schutzauftrag des Rechts : Referate und Diskussionen Auf der Tagung der Vereinigung der Deutschen Staatsrechtslehrer in Berlin Vom 29. September Bis 2. Oktober 2010</t>
  </si>
  <si>
    <t>Nettesheim, Martin</t>
  </si>
  <si>
    <t>The Asia-Europe Meeting : Contributing to a New Global Governance Architecture: the Eighth ASEM Summit in Brussels (2010)</t>
  </si>
  <si>
    <t>Bersick, Sebastian</t>
  </si>
  <si>
    <t>Reading Up : Middle-Class Readers and the Culture of Success in the Early Twentieth-Century United States</t>
  </si>
  <si>
    <t>Blair, Amy</t>
  </si>
  <si>
    <t>Spätantiker Staat und Religiöser Konflikt : Imperiale und Lokale Verwaltung und Die Gewalt Gegen Heiligtümer</t>
  </si>
  <si>
    <t>Hahn, Johannes</t>
  </si>
  <si>
    <t>Heinrich Heine - ein Deutscher Europäer Im Französischen Exil : Vortrag, Gehalten Vor der Juristischen Gesellschaft Zu Berlin Am 9. Dezember 2009</t>
  </si>
  <si>
    <t>Stein, Ursula</t>
  </si>
  <si>
    <t>Languages of Science in the Eighteenth Century</t>
  </si>
  <si>
    <t>Gunnarsson, Britt-Louise</t>
  </si>
  <si>
    <t>Messianic Figures in the Writings of German-Jewish Intellectuals 1900-1933</t>
  </si>
  <si>
    <t>Dubbels, Elke</t>
  </si>
  <si>
    <t>Rom und Mailand in der Spätantike : Repräsentationen Städtischer Räume in Literatur, Architektur und Kunst</t>
  </si>
  <si>
    <t>Fuhrer, Therese</t>
  </si>
  <si>
    <t>The Philosophy of Human Rights : Contemporary Controversies</t>
  </si>
  <si>
    <t>Ernst, Gerhard</t>
  </si>
  <si>
    <t>Tantalisingly Close : An Archaeology of Communication Desires in Discourses of Mobile Wireless Media</t>
  </si>
  <si>
    <t>de Vries, Imar</t>
  </si>
  <si>
    <t>Kindheit in Byzanz : Emotionale, Geistige und Materielle Entwicklung Im Familiären Umfeld Vom 6. Bis Zum 11. Jahrhundert</t>
  </si>
  <si>
    <t>Ariantzi, Despoina</t>
  </si>
  <si>
    <t>Wartime Shanghai and the Jewish Refugees from Central Europe : Survival, Co-Existence, and Identity in a Multi-Ethnic City</t>
  </si>
  <si>
    <t>Eber, Irene</t>
  </si>
  <si>
    <t>Tiananmen Fictions Outside the Square : The Chinese Literary Diaspora and the Politics of Global Culture</t>
  </si>
  <si>
    <t>Kong, Belinda</t>
  </si>
  <si>
    <t>Constituent, Confederate, and Conquered Space : The Emergence of the Mittani State</t>
  </si>
  <si>
    <t>Cancik-Kirschbaum, Eva</t>
  </si>
  <si>
    <t>Gottes Haus : Untersuchungen Zur Kirche Als Heiligem Raum Von der Spätantike Bis Ins Frühmittelalter</t>
  </si>
  <si>
    <t>Czock, Miriam</t>
  </si>
  <si>
    <t>Grundsatzfragen der Rechtsetzung und Rechtsfindung : Referate und Diskussionen Auf der Tagung der Vereinigung der Deutschen Staatsrechtslehrer in Münster Vom 5. Bis 8. Oktober 2011</t>
  </si>
  <si>
    <t>Lienbacher, Georg</t>
  </si>
  <si>
    <t>Die Mosaiken der Acheiropoietos-Basilika in Thessaloniki : Eine Vergleichende Analyse Dekorativer Mosaiken des 5. und 6. Jahrhunderts</t>
  </si>
  <si>
    <t>Fourlas, Benjamin</t>
  </si>
  <si>
    <t>Gallien in Spätantike und Frühmittelalter : Kulturgeschichte Einer Region</t>
  </si>
  <si>
    <t>Diefenbach, Steffen</t>
  </si>
  <si>
    <t>Holocaust Denial : The Politics of Perfidy</t>
  </si>
  <si>
    <t>Wistrich, Robert S.</t>
  </si>
  <si>
    <t>Emotional Minds : The Passions and the Limits of Pure Inquiry in Early Modern Philosophy</t>
  </si>
  <si>
    <t>Ebbersmeyer, Sabrina</t>
  </si>
  <si>
    <t>Der Bundespräsident : Briefe 1949-1954</t>
  </si>
  <si>
    <t>Population Dynamics in Prehistory and Early History : New Approaches Using Stable Isotopes and Genetics</t>
  </si>
  <si>
    <t>Kaiser, Elke</t>
  </si>
  <si>
    <t>Arbeitsorganisation 2. 0 : Tools Für Den Arbeitsalltag in Kultur- und Bildungseinrichtungen</t>
  </si>
  <si>
    <t>Libraries Driving Access to Knowledge</t>
  </si>
  <si>
    <t>Lau, Jesús</t>
  </si>
  <si>
    <t>Thinking and Killing : Philosophical Discourse in the Shadow of the Third Reich</t>
  </si>
  <si>
    <t>Segev, Alon</t>
  </si>
  <si>
    <t>The Archaeology of Political Spaces : The Upper Mesopotamian Piedmont in the Second Millennium BCE</t>
  </si>
  <si>
    <t>Bonatz, Dominik</t>
  </si>
  <si>
    <t>Babylon : Wissenskultur in Orient und Okzident</t>
  </si>
  <si>
    <t>Spatial Analysis and Social Spaces : Interdisciplinary Approaches to the Interpretation of Prehistoric and Historic Built Environments</t>
  </si>
  <si>
    <t>Paliou, Eleftheria</t>
  </si>
  <si>
    <t>Mobilität und Wissenstransfer in Diachroner und Interdisziplinärer Perspektive</t>
  </si>
  <si>
    <t>(Open) Linked Data in Bibliotheken</t>
  </si>
  <si>
    <t>Danowski, Patrick</t>
  </si>
  <si>
    <t>Deutschland und Europa: Wächst Zusammen, Was Zusammen Gehört?</t>
  </si>
  <si>
    <t>Akademie der Wissenschaften in Hamburg, Akademie der</t>
  </si>
  <si>
    <t>Oaths and Swearing in Ancient Greece</t>
  </si>
  <si>
    <t>Sommerstein, Alan H.</t>
  </si>
  <si>
    <t>Bundesstaat und Europäische Union Zwischen Konflikt und Kooperation : Berichte und Diskussionen Auf der Tagung der Vereinigung der Deutschen Staatsrechtslehrer in Rostock Vom 4. Bis 7. Oktober 2006</t>
  </si>
  <si>
    <t>Kadelbach, Stefan</t>
  </si>
  <si>
    <t>Der Sozialstaat in Deutschland und Europa : Berichte und Diskussionen Auf der Tagung der Vereinigung der Deutschen Staatsrechtslehrer in Jena Vom 6. Bis 9. Oktober 2004</t>
  </si>
  <si>
    <t>Enders, Christoph</t>
  </si>
  <si>
    <t>The German President. Letters 19541959 : Briefe 1954–1959</t>
  </si>
  <si>
    <t>Der Kaiser und Konstantinopel : Kommunikation und Konfliktaustrag in Einer Spätantiken Metropole</t>
  </si>
  <si>
    <t>Pfeilschifter, Rene</t>
  </si>
  <si>
    <t>Across the Margins : Cultural Identity and Change in the Atlantic Archipelago</t>
  </si>
  <si>
    <t>Norquay, Glenda</t>
  </si>
  <si>
    <t>Stories of Women : Gender and Narrative in the Postcolonial Nation</t>
  </si>
  <si>
    <t>Boehmer, Elleke</t>
  </si>
  <si>
    <t>Bibliotheken: Innovation Aus Tradition : Rolf Griebel Zum 65. Geburtstag</t>
  </si>
  <si>
    <t>Ceynowa, Klaus</t>
  </si>
  <si>
    <t>Die Basilika in Byzanz : Gestalt, Ausstattung und Funktion Sowie das Verhältnis Zur Kreuzkuppelkirche</t>
  </si>
  <si>
    <t>Altripp, Michael</t>
  </si>
  <si>
    <t>Gaming und Bibliotheken</t>
  </si>
  <si>
    <t>Deeg, Christoph</t>
  </si>
  <si>
    <t>The International Monetary Fund and Latin America : The Argentine Puzzle in Context</t>
  </si>
  <si>
    <t>Kedar, Claudia</t>
  </si>
  <si>
    <t>Antibiotika-Forschung: Probleme und Perspektiven : Stellungnahme</t>
  </si>
  <si>
    <t>Akademie der Wissenschaften Hamburg, Akademie der</t>
  </si>
  <si>
    <t>Active Ageing and Solidarity Between Generations in Europe : First Results from SHARE after the Economic Crisis</t>
  </si>
  <si>
    <t>Börsch-Supan, Axel</t>
  </si>
  <si>
    <t>Jeremiah Smith, Jr. and Hungary, 1924-1926 : The United States, the League of Nations, and the Financial Reconstruction of Hungary</t>
  </si>
  <si>
    <t>Peterecz, Zoltán</t>
  </si>
  <si>
    <t>Pioneers of Zionism: Hess, Pinsker, Rülf : Messianism, Settlement Policy, and the Israeli-Palestinian Conflict</t>
  </si>
  <si>
    <t>Schoeps, Julius H.</t>
  </si>
  <si>
    <t>Jugendbewegung, Antisemitismus und Rechtsradikale Politik : Vom ,,Freideutschen Jugendtag Bis Zur Gegenwart</t>
  </si>
  <si>
    <t>Botsch, Gideon</t>
  </si>
  <si>
    <t>Repräsentative Demokratie in der Krise? : Referate und Diskussionen Auf der Tagung der Vereinigung der Deutschen Staatsrechtslehrer in Kiel Vom 3. Bis 6. Oktober 2012</t>
  </si>
  <si>
    <t>Walter, Christian</t>
  </si>
  <si>
    <t>On Ancient Grammars of Space : Linguistic Research on the Expression of Spatial Relations and Motion in Ancient Languages</t>
  </si>
  <si>
    <t>Kutscher, Silvia</t>
  </si>
  <si>
    <t>Das Emanzipationsedikt Von 1812 in Preußen : Der Lange Weg der Juden Zu ,,Einländern und ,,preußischen Staatsbürgern</t>
  </si>
  <si>
    <t>Diekmann, Irene A.</t>
  </si>
  <si>
    <t>Constructivist Blended Learning Approach : To Teaching English for Specific Purposes</t>
  </si>
  <si>
    <t>Tarnopolsky, Oleg</t>
  </si>
  <si>
    <t>Before the Museums Came : A Social History of the Fine Arts in the Twin Cities</t>
  </si>
  <si>
    <t>Harris, Leo J.</t>
  </si>
  <si>
    <t>Tractates Pesahim and Yoma</t>
  </si>
  <si>
    <t>Guggenheimer, Heinrich W.</t>
  </si>
  <si>
    <t>Ethnography As Commentary : Writing from the Virtual Archive</t>
  </si>
  <si>
    <t>Duke University Press</t>
  </si>
  <si>
    <t>Fabian, Johannes</t>
  </si>
  <si>
    <t>This Was Not Our War : Bosnian Women Reclaiming the Peace</t>
  </si>
  <si>
    <t>Hunt, Swanee</t>
  </si>
  <si>
    <t>Cinema at the End of Empire : A Politics of Transition in Britain and India</t>
  </si>
  <si>
    <t>Jaikumar, Priya</t>
  </si>
  <si>
    <t>Europe (in Theory)</t>
  </si>
  <si>
    <t>Dainotto, Roberto M.</t>
  </si>
  <si>
    <t>Governing Gaza : Bureaucracy, Authority, and the Work of Rule, 1917-1967</t>
  </si>
  <si>
    <t>Feldman, Ilana</t>
  </si>
  <si>
    <t>Lenin Reloaded : Toward a Politics of Truth, Sic Vii</t>
  </si>
  <si>
    <t>Budgen, Sebastian</t>
  </si>
  <si>
    <t>Native Americans and the Christian Right : The Gendered Politics of Unlikely Alliances</t>
  </si>
  <si>
    <t>Smith, Andrea</t>
  </si>
  <si>
    <t>Women Build the Welfare State : Performing Charity and Creating Rights in Argentina, 1880-1955</t>
  </si>
  <si>
    <t>Guy, Donna J.</t>
  </si>
  <si>
    <t>Conflicted Antiquities : Egyptology, Egyptomania, Egyptian Modernity</t>
  </si>
  <si>
    <t>Colla, Elliott</t>
  </si>
  <si>
    <t>The Culture of Japanese Fascism</t>
  </si>
  <si>
    <t>Tansman, Alan</t>
  </si>
  <si>
    <t>Jacques Rancière : History, Politics, Aesthetics</t>
  </si>
  <si>
    <t>Rockhill, Gabriel</t>
  </si>
  <si>
    <t>Land of Necessity : Consumer Culture in the United States-Mexico Borderlands</t>
  </si>
  <si>
    <t>McCrossen, Alexis</t>
  </si>
  <si>
    <t>Media, Erotics, and Transnational Asia</t>
  </si>
  <si>
    <t>Mankekar, Purnima</t>
  </si>
  <si>
    <t>The Dictator's Seduction : Politics and the Popular Imagination in the Era of Trujillo</t>
  </si>
  <si>
    <t>Derby, Lauren H.</t>
  </si>
  <si>
    <t>The Provocative Joan Robinson : The Making of a Cambridge Economist</t>
  </si>
  <si>
    <t>Aslanbeigui, Nahid</t>
  </si>
  <si>
    <t>The Un-Americans : Jews, the Blacklist, and Stoolpigeon Culture</t>
  </si>
  <si>
    <t>Litvak, Joseph</t>
  </si>
  <si>
    <t>A Certain Age : Colonial Jakarta Through the Memories of Its Intellectuals</t>
  </si>
  <si>
    <t>ázek, Rudolf</t>
  </si>
  <si>
    <t>Anthropology and the Racial Politics of Culture</t>
  </si>
  <si>
    <t>Baker, Lee D.</t>
  </si>
  <si>
    <t>Bring on the Books for Everybody : How Literary Culture Became Popular Culture</t>
  </si>
  <si>
    <t>Collins, Jim</t>
  </si>
  <si>
    <t>Cosmopolitan Archaeologies</t>
  </si>
  <si>
    <t>Meskell, Lynn</t>
  </si>
  <si>
    <t>Crash : Cinema and the Politics of Speed and Stasis</t>
  </si>
  <si>
    <t>Redrobe, Karen</t>
  </si>
  <si>
    <t>The Indian Craze : Primitivism, Modernism, and Transculturation in American Art, 1890-1915</t>
  </si>
  <si>
    <t>Hutchinson, Elizabeth</t>
  </si>
  <si>
    <t>The Sopranos</t>
  </si>
  <si>
    <t>Polan, Dana</t>
  </si>
  <si>
    <t>The Speed Handbook : Velocity, Pleasure, Modernism</t>
  </si>
  <si>
    <t>Duffy, Enda</t>
  </si>
  <si>
    <t>Uneven Encounters : Making Race and Nation in Brazil and the United States</t>
  </si>
  <si>
    <t>Seigel, Micol</t>
  </si>
  <si>
    <t>Women's Experimental Cinema : Critical Frameworks</t>
  </si>
  <si>
    <t>Blaetz, Robin</t>
  </si>
  <si>
    <t>Chinese Circulations : Capital, Commodities, and Networks in Southeast Asia</t>
  </si>
  <si>
    <t>Tagliacozzo, Eric</t>
  </si>
  <si>
    <t>Monumental Matters : The Power, Subjectivity, and Space of India's Mughal Architecture</t>
  </si>
  <si>
    <t>Kavuri-Bauer, Santhi</t>
  </si>
  <si>
    <t>Soldiers' Stories : Military Women in Cinema and Television since World War II</t>
  </si>
  <si>
    <t>Tasker, Yvonne</t>
  </si>
  <si>
    <t>The Apartment Plot : Urban Living in American Film and Popular Culture, 1945 To 1975</t>
  </si>
  <si>
    <t>Wojcik, Pamela Robertson</t>
  </si>
  <si>
    <t>Contemporary Carioca : Technologies of Mixing in a Brazilian Music Scene</t>
  </si>
  <si>
    <t>Moehn, Frederick</t>
  </si>
  <si>
    <t>Creativity and Its Discontents : China's Creative Industries and Intellectual Property Rights Offenses</t>
  </si>
  <si>
    <t>Pang, Laikwan</t>
  </si>
  <si>
    <t>Decolonizing Native Histories : Collaboration, Knowledge, and Language in the Americas</t>
  </si>
  <si>
    <t>Mallon, Florencia E.</t>
  </si>
  <si>
    <t>Empire's Garden : Assam and the Making of India</t>
  </si>
  <si>
    <t>Sharma, Jayeeta</t>
  </si>
  <si>
    <t>Food, Farms, and Solidarity : French Farmers Challenge Industrial Agriculture and Genetically Modified Crops</t>
  </si>
  <si>
    <t>Heller, Chaia</t>
  </si>
  <si>
    <t>Migrants and Migration in Modern North America : Cross-Border Lives, Labor Markets, and Politics</t>
  </si>
  <si>
    <t>Hoerder, Dirk</t>
  </si>
  <si>
    <t>Real Folks : Race and Genre in the Great Depression</t>
  </si>
  <si>
    <t>Retman, Sonnet</t>
  </si>
  <si>
    <t>Unearthing Gender : Folksongs of North India</t>
  </si>
  <si>
    <t>Jassal, Smita Tewari</t>
  </si>
  <si>
    <t>What's Left of the Left : Democrats and Social Democrats in Challenging Times</t>
  </si>
  <si>
    <t>Cronin, James E.</t>
  </si>
  <si>
    <t>Worlds Apart : Bosnian Lessons for Global Security</t>
  </si>
  <si>
    <t>All in the Family : On Community and Incommensurability</t>
  </si>
  <si>
    <t>Ferguson, Kennan</t>
  </si>
  <si>
    <t>An Historical Account of the Black Empire of Hayti</t>
  </si>
  <si>
    <t>Rainsford, Marcus</t>
  </si>
  <si>
    <t>Culture of Class : Radio and Cinema in the Making of a Divided Argentina, 1920-1946</t>
  </si>
  <si>
    <t>Karush, Matthew B.</t>
  </si>
  <si>
    <t>Mad Men, Mad World : Sex, Politics, Style, and The 1960s</t>
  </si>
  <si>
    <t>Goodlad, Lauren M. E.</t>
  </si>
  <si>
    <t>Odd Couples : Friendships at the Intersection of Gender and Sexual Orientation</t>
  </si>
  <si>
    <t>Muraco, Anna</t>
  </si>
  <si>
    <t>The Deliverance of Others : Reading Literature in a Global Age</t>
  </si>
  <si>
    <t>Palumbo-Liu, David</t>
  </si>
  <si>
    <t>The Pariahs of Yesterday : Breton Migrants in Paris</t>
  </si>
  <si>
    <t>Moch, Leslie Page</t>
  </si>
  <si>
    <t>Moving to Sustainable Buildings: : Paths to Adopt Green Innovations in Developed Countries</t>
  </si>
  <si>
    <t>Berardi, Umberto</t>
  </si>
  <si>
    <t>Making the Most of Mess : Reliability and Policy in Today's Management Challenges</t>
  </si>
  <si>
    <t>Roe, Emery</t>
  </si>
  <si>
    <t>The World Jewish Congress During the Holocaust : Between Activism and Restraint</t>
  </si>
  <si>
    <t>Segev, Zohar</t>
  </si>
  <si>
    <t>The Problem of Relativism in the Sociology of (Scientific) Knowledge</t>
  </si>
  <si>
    <t>Schantz, Richard</t>
  </si>
  <si>
    <t>Wittgenstein: the Philosopher and His Works : The Philosopher and His Works</t>
  </si>
  <si>
    <t>Substance and Attribute : Western and Islamic Traditions in Dialogue</t>
  </si>
  <si>
    <t>Kanzian, Christian</t>
  </si>
  <si>
    <t>Essays on the Philosophy of Wittgenstein</t>
  </si>
  <si>
    <t>Munz, Volker</t>
  </si>
  <si>
    <t>Time and History : Proceedings of the 28. International Ludwig Wittgenstein Symposium, Kirchberg Am Wechsel, Austria 2005</t>
  </si>
  <si>
    <t>Stadler, Friedrich</t>
  </si>
  <si>
    <t>Phenomenology As Grammar</t>
  </si>
  <si>
    <t>Padilla Gálvez, Jesús</t>
  </si>
  <si>
    <t>Wittgenstein über das Verstehen</t>
  </si>
  <si>
    <t>Tatievskaya, Elena</t>
  </si>
  <si>
    <t>Ethics of Terrorism and Counter-Terrorism</t>
  </si>
  <si>
    <t>Meggle, Georg</t>
  </si>
  <si>
    <t>From Logic to Art : Themes from Nelson Goodman</t>
  </si>
  <si>
    <t>Volume 2</t>
  </si>
  <si>
    <t>Heinrich, Richard</t>
  </si>
  <si>
    <t>Wittgensteins Sprachphilosophie in Den Philosophischen Untersuchungen : Eine Kommentierende Ersteinführung</t>
  </si>
  <si>
    <t>Kellerwessel, Wulf</t>
  </si>
  <si>
    <t>Volume 1</t>
  </si>
  <si>
    <t>Signs, Minds and Actions</t>
  </si>
  <si>
    <t>Grenzen Grammatischer Willkür Bei Wittgenstein</t>
  </si>
  <si>
    <t>Voß, Henrik</t>
  </si>
  <si>
    <t>Cultures. Conflict - Analysis - Dialogue : Proceedings of the 29th International Ludwig Wittgenstein-Symposium in Kirchberg, Austria</t>
  </si>
  <si>
    <t>Interpreting Philosophy : The Elements of Philosophical Hermeneutics</t>
  </si>
  <si>
    <t>Rescher, Nicholas</t>
  </si>
  <si>
    <t>Wittgenstein and the Philosophy of Information : Proceedings of the 30th International Ludwig Wittgenstein-Symposium in Kirchberg 2007</t>
  </si>
  <si>
    <t>Philosophy of the Information Society : Proceedings of the 30th International Ludwig Wittgenstein-Symposium in Kirchberg 2007</t>
  </si>
  <si>
    <t>Applied Ontology : An Introduction</t>
  </si>
  <si>
    <t>Munn, Katherine</t>
  </si>
  <si>
    <t>Referenz, Quantifikation und Ontologische Festlegung</t>
  </si>
  <si>
    <t>Reicher, Maria Elisabeth</t>
  </si>
  <si>
    <t>Fostering the Ontological Turn : Gustav Bergmann (1906-1987)</t>
  </si>
  <si>
    <t>Egidi, Rosaria</t>
  </si>
  <si>
    <t>Ports, Piracy and Maritime War : Piracy in the English Channel and the Atlantic, C. 1280-C. 1330</t>
  </si>
  <si>
    <t>BRILL</t>
  </si>
  <si>
    <t>Heebll-Holm, Thomas</t>
  </si>
  <si>
    <t>Daten und Phänomene : Ein Beitrag Zur Wissenschaftstheoretischen Realismusdebatte</t>
  </si>
  <si>
    <t>Apel, Jochen</t>
  </si>
  <si>
    <t>Theoriebeladenheit und Objektivität : Zur Rolle der Beobachtung in Den Naturwissenschaften</t>
  </si>
  <si>
    <t>Adam, Matthias</t>
  </si>
  <si>
    <t>Das Wertfreiheitsideal in der Sozialen Erkenntnistheorie : Objektivität, Pluralismus und das Beispiel Frauengesundheitsforschung</t>
  </si>
  <si>
    <t>Büter, Anke</t>
  </si>
  <si>
    <t>Consciousness and Subjectivity</t>
  </si>
  <si>
    <t>Miguens, Sofia</t>
  </si>
  <si>
    <t>Universality in Set Theories : A Study in Formal Ontology</t>
  </si>
  <si>
    <t>Bremer, Manuel</t>
  </si>
  <si>
    <t>On the Nature of Philosophy and Other Philosophical Essays</t>
  </si>
  <si>
    <t>Medicine and Philosophy : A Twenty-First Century Introduction</t>
  </si>
  <si>
    <t>Johansson, Ingvar</t>
  </si>
  <si>
    <t>Historische Erkenntnis Zwischen Objektivität und Perspektivität</t>
  </si>
  <si>
    <t>Kistenfeger, Jens</t>
  </si>
  <si>
    <t>Die Praxis des Wissens : Können Als Quelle der Erkenntnis</t>
  </si>
  <si>
    <t>Schubert, Axel</t>
  </si>
  <si>
    <t>A Two-Dimensionalist Guide to Conceptual Analysis</t>
  </si>
  <si>
    <t>Kipper, Jens</t>
  </si>
  <si>
    <t>Non-Locality and Possible World : A Counterfactual Perspective on Quantum Entanglement</t>
  </si>
  <si>
    <t>Bigaj, Tomasz F.</t>
  </si>
  <si>
    <t>Von der Physik Zur Metaphysik : Physikalische Vereinheitlichung und Stringansatz</t>
  </si>
  <si>
    <t>Hedrich, Reiner</t>
  </si>
  <si>
    <t>The Necessary Structure of the All-Pervading Aether : Necessary Structure of the All-Pervading Aether</t>
  </si>
  <si>
    <t>Forrest, Peter</t>
  </si>
  <si>
    <t>Relations and Predicates</t>
  </si>
  <si>
    <t>Hochberg, Herbert</t>
  </si>
  <si>
    <t>Reduction : Between the Mind and the Brain</t>
  </si>
  <si>
    <t>Hieke, Alexander</t>
  </si>
  <si>
    <t>Reduction - Abstraction - Analysis : Proceedings of the 31th International Ludwig Wittgenstein-Symposium in Kirchberg 2008</t>
  </si>
  <si>
    <t>Sense and Reality : Essays Out of Swansea</t>
  </si>
  <si>
    <t>Edelman, John</t>
  </si>
  <si>
    <t>Die Natur der Farben</t>
  </si>
  <si>
    <t>Dorsch, Fabian</t>
  </si>
  <si>
    <t>Gottes Werk und Teufels Wirken : Traum, Vision, Imagination in der Frühbyzantinischen Monastischen Literatur</t>
  </si>
  <si>
    <t>Histamine H4 Receptor : A Novel Drug Target for Immunoregulation and Inflammation</t>
  </si>
  <si>
    <t>Stark, Holger</t>
  </si>
  <si>
    <t>Theodor Heuss As Private Citizen and Elder Statesman</t>
  </si>
  <si>
    <t>Bird Ringing Station Manual</t>
  </si>
  <si>
    <t>Busse, Przemyslaw</t>
  </si>
  <si>
    <t>Retirement Timing and Social Stratification : A Comparative Study of Labor Market Exit and Age Norms in Western Europe</t>
  </si>
  <si>
    <t>Radl, Jonas</t>
  </si>
  <si>
    <t>Environmental Democracy at the Global Level: : Rights and Duties for a New Citizenship</t>
  </si>
  <si>
    <t>Parola, Giulia</t>
  </si>
  <si>
    <t>Europe and the Gospel : Past Influences, Current Developments, Mission Challenges</t>
  </si>
  <si>
    <t>Van de Poll, Evert</t>
  </si>
  <si>
    <t>Monumental Polovtsian Statues in Eastern Europe : The Archaeology, Conservation and Protection</t>
  </si>
  <si>
    <t>Golebiowska-Tobiasz, Aneta</t>
  </si>
  <si>
    <t>Russian Policy in the Orthodox East : The Patriarchate of Constantinople (1878-1914)</t>
  </si>
  <si>
    <t>Gerd, Lora</t>
  </si>
  <si>
    <t>Behold Our Moral Body : Psychiatry, Duns Scotus, and Neuroscience</t>
  </si>
  <si>
    <t>Severino, Sally K.</t>
  </si>
  <si>
    <t>Children Disengaged from Armed Groups in Colombia : Integration Processes in Context</t>
  </si>
  <si>
    <t>Villanueva O'Driscoll, Julia</t>
  </si>
  <si>
    <t>The Szczecin Lagoon Ecosystem : The Biotic Community of the Great Lagoon and Its Food Web Model</t>
  </si>
  <si>
    <t>Wolnomiejski, Norbert</t>
  </si>
  <si>
    <t>Musket, Map and Money: : How Military Technology Shaped Geopolitics and Economics</t>
  </si>
  <si>
    <t>Teng, Jimmy</t>
  </si>
  <si>
    <t>Liberalismus : Zur Historischen Semantik Eines Europäischen Deutungsmusters</t>
  </si>
  <si>
    <t>Leonhard, Jö</t>
  </si>
  <si>
    <t>Random Differential Equations in Scientific Computing</t>
  </si>
  <si>
    <t>Neckel, Tobias</t>
  </si>
  <si>
    <t>Auf Ewig Feind? : Das Deutschlandbild in Den Britischen Massenmedien Nach Dem Ersten Weltkrieg</t>
  </si>
  <si>
    <t>Wittek, Thomas</t>
  </si>
  <si>
    <t>Das Andere der Monarchie : La Rochelle und Die Idee der Monarchie Absolue in Frankreich, 1568-1630</t>
  </si>
  <si>
    <t>Der Schatten des Volkes : Benjamin Constant und Die Anfänge Liberaler Repräsentationskultur Im Frankreich der Restaurationszeit 1814-1830</t>
  </si>
  <si>
    <t>Geiss, Peter</t>
  </si>
  <si>
    <t>Der Fall Nicolas Fouquet : Mäzenatentum Als Mittel Politischer Selbstdarstellung 1653-1661</t>
  </si>
  <si>
    <t>Howald, Christine</t>
  </si>
  <si>
    <t>Zwischen Paris und Moskau : Kommunistische Vorstadtidentität und Lokale Erinnerungskultur in Ivry-Sur-Seine</t>
  </si>
  <si>
    <t>Léon, Cristina</t>
  </si>
  <si>
    <t>Deutschland, Russland, Komintern - Dokumente (1918-1943) : Nach der Archivrevolution: Neuerschlossene Quellen Zu der Geschichte der KPD und Den Deutsch-Russischen Beziehungen</t>
  </si>
  <si>
    <t>Weber, Hermann</t>
  </si>
  <si>
    <t>La Descrizione Dei Tempi All'alba Dell'espansione Islamica : Un'indagine Sulla Storiografia Greca, Siriaca e Araba Fra VII e VIII Secolo</t>
  </si>
  <si>
    <t>Conterno, Maria</t>
  </si>
  <si>
    <t>Deutschland, Russland, Komintern - Überblicke, Analysen, Diskussionen : Neue Perspektiven Auf Die Geschichte der KPD und Die Deutsch-Russischen Beziehungen (1918-1943)</t>
  </si>
  <si>
    <t>Das Römische Spielewesen in der Spätantike</t>
  </si>
  <si>
    <t>Puk, Alexander</t>
  </si>
  <si>
    <t>Geschichte Lernen Im Digitalen Wandel</t>
  </si>
  <si>
    <t>Demantowsky, Marko</t>
  </si>
  <si>
    <t>Arbeit Im Nationalsozialismus</t>
  </si>
  <si>
    <t>Buggeln, Marc</t>
  </si>
  <si>
    <t>Historyblogosphere : Bloggen in Den Geschichtswissenschaften</t>
  </si>
  <si>
    <t>Haber, Peter</t>
  </si>
  <si>
    <t>Akten Zur Auswärtigen Politik der Bundesrepublik Deutschland 1982</t>
  </si>
  <si>
    <t>Ploetz, Michael</t>
  </si>
  <si>
    <t>Umwelt und Herrschaft in der Geschichte. Environnement et Pouvoir: une Approche Historique : Une Approche Historique</t>
  </si>
  <si>
    <t>Duceppe-Lamarre, François</t>
  </si>
  <si>
    <t>The Linguistic Worldview : Ethnolinguistics, Cognition, and Culture</t>
  </si>
  <si>
    <t>Glaz, Adam</t>
  </si>
  <si>
    <t>Das 19. Jahrhundert Als Mediengesellschaft</t>
  </si>
  <si>
    <t>Requate, Jörg</t>
  </si>
  <si>
    <t>Tous les Hommes Sont-Ils égaux? : Histoire Comparée des Pensées Raciales 1860-1930</t>
  </si>
  <si>
    <t>Reynaud Paligot, Carole</t>
  </si>
  <si>
    <t>Remy Belleau et l&amp;apos</t>
  </si>
  <si>
    <t>Michaelis Pselli Chronographia</t>
  </si>
  <si>
    <t>Reinsch, Diether Roderich</t>
  </si>
  <si>
    <t>Nationale Identität und Transnationale Einflüsse : Amerikanisierung, Europäisierung und Globalisierung in Frankreich Nach Dem Zweiten Weltkrieg</t>
  </si>
  <si>
    <t>Marcowitz, Reiner</t>
  </si>
  <si>
    <t>Mutation Breeding in Chickpea: : Perspectives and Prospects for Food Security</t>
  </si>
  <si>
    <t>Kozgar, Imran</t>
  </si>
  <si>
    <t>Exploring Cultural Identities in Jean Rhys' Fiction</t>
  </si>
  <si>
    <t>Voicu, Cristina-Georgiana</t>
  </si>
  <si>
    <t>Simon of Genoa's Medical Lexicon</t>
  </si>
  <si>
    <t>Zipser, Barbara</t>
  </si>
  <si>
    <t>Russia in the Reign of Aleksei Mikhailovich</t>
  </si>
  <si>
    <t>Kotoshikhin, Grigorii Karpovich</t>
  </si>
  <si>
    <t>150 Jahre Deutsche Verwaltungsgerichtsbarkeit : Vortrag, Gehalten Vor der Juristischen Gesellschaft Zu Berlin Am 9. Oktober 2013 Im OVG Berlin-Brandenburg</t>
  </si>
  <si>
    <t>Hien, Eckart</t>
  </si>
  <si>
    <t>A Galileo Forgery : Unmasking the New York Sidereus Nuncius</t>
  </si>
  <si>
    <t>Bredekamp, Horst</t>
  </si>
  <si>
    <t>Biological Relatives : IVF, Stem Cells, and the Future of Kinship</t>
  </si>
  <si>
    <t>Franklin, Sarah</t>
  </si>
  <si>
    <t>Borderland Lives in Northern South Asia</t>
  </si>
  <si>
    <t>Gellner, David N.</t>
  </si>
  <si>
    <t>In Search of the Amazon : Brazil, the United States, and the Nature of a Region</t>
  </si>
  <si>
    <t>Garfield, Seth</t>
  </si>
  <si>
    <t>My Voice Is My Weapon : Music, Nationalism, and the Poetics of Palestinian Resistance</t>
  </si>
  <si>
    <t>McDonald, David A.</t>
  </si>
  <si>
    <t>Return : Nationalizing Transnational Mobility in Asia</t>
  </si>
  <si>
    <t>Xiang, Biao</t>
  </si>
  <si>
    <t>Major Trends in Theoretical and Applied Linguistics 3 : Selected Papers from the 20th ISTAL</t>
  </si>
  <si>
    <t>Lavidas, Nikolaos</t>
  </si>
  <si>
    <t>Major Trends in Theoretical and Applied Linguistics 1 : Selected Papers from the 20th ISTAL</t>
  </si>
  <si>
    <t>Major Trends in Theoretical and Applied Linguistics 2 : Selected Papers from the 20th ISTAL</t>
  </si>
  <si>
    <t>Art from a Fractured Past : Memory and Truth-Telling in Post-Shining Path Peru</t>
  </si>
  <si>
    <t>Milton, Cynthia E.</t>
  </si>
  <si>
    <t>Ever Faithful : Race, Loyalty, and the Ends of Empire in Spanish Cuba</t>
  </si>
  <si>
    <t>Sartorius, David</t>
  </si>
  <si>
    <t>An Experimental Study on Adhesive or Anti-Adhesive, Bio-inspired Experimental Nanomaterials</t>
  </si>
  <si>
    <t>Lepore, Emiliano</t>
  </si>
  <si>
    <t>Skin for Skin : Death and Life for Inuit and Innu</t>
  </si>
  <si>
    <t>Sider, Gerald M.</t>
  </si>
  <si>
    <t>West Germany in the CSCE Process, 1975-1983: the Reversal of Diplomacy : Die Umkehrung der Diplomatie</t>
  </si>
  <si>
    <t>Peter, Matthias</t>
  </si>
  <si>
    <t>November 1741 - Oktober 1742</t>
  </si>
  <si>
    <t>Döring, Detlef</t>
  </si>
  <si>
    <t>Diplomatie Mit Gefühl : Vertrauen, Misstrauen und Die Außenpolitik der Bundesrepublik Deutschland</t>
  </si>
  <si>
    <t>Kreis, Reinhild</t>
  </si>
  <si>
    <t>Das Auswärtige Amt in der NS-Diktatur</t>
  </si>
  <si>
    <t>Hürter, Johannes</t>
  </si>
  <si>
    <t>Inszenierte Moderne : Populäres Theater in Berlin und London, 1880-1930</t>
  </si>
  <si>
    <t>Becker, Tobias</t>
  </si>
  <si>
    <t>Energy Efficiency Solutions for Historic Buildings : A Handbook</t>
  </si>
  <si>
    <t>Troi, Alexandra (EURAC research)</t>
  </si>
  <si>
    <t>Öl und Souveränität : Petroknowledge und Energiepolitik in Den USA und Westeuropa in Den 1970er Jahren</t>
  </si>
  <si>
    <t>Graf, Rüdiger</t>
  </si>
  <si>
    <t>Animating Film Theory</t>
  </si>
  <si>
    <t>Designing Adaptive Virtual Worlds</t>
  </si>
  <si>
    <t>Gu, Ning</t>
  </si>
  <si>
    <t>Terrorismusbekämpfung in Westeuropa : Demokratie und Sicherheit in Den 1970er und 1980er Jahren</t>
  </si>
  <si>
    <t>Global Commons Im 20. Jahrhundert : Entwürfe Für eine Globale Welt</t>
  </si>
  <si>
    <t>Löhr, Isabella</t>
  </si>
  <si>
    <t>Zukunftsgestaltung Durch Öffentliches Recht : Referate und Diskussionen Auf der Tagung der Vereinigung der Deutschen Staatsrechtslehrer in Greifswald Vom 2. Bis 5. Oktober 2013</t>
  </si>
  <si>
    <t>Ehrenzeller, Bernhard</t>
  </si>
  <si>
    <t>An Historical Geography of Tourism in Victoria, Australia : Case Studies</t>
  </si>
  <si>
    <t>Clark, Ian</t>
  </si>
  <si>
    <t>Gender-UseIT : HCI, Usability und UX Unter Gendergesichtspunkten</t>
  </si>
  <si>
    <t>Hochschule Heilbronn, Kompetenzzentrum Technik-Diversity-Chancengleichheit</t>
  </si>
  <si>
    <t>Genuss Als Politikum : Kaffeekonsum in Beiden Deutschen Staaten</t>
  </si>
  <si>
    <t>Sigmund, Monika</t>
  </si>
  <si>
    <t>Coordination Abilities in Volleyball</t>
  </si>
  <si>
    <t>Simonek, Jaromír</t>
  </si>
  <si>
    <t>State of Ambiguity : Civic Life and Culture in Cuba's First Republic</t>
  </si>
  <si>
    <t>Palmer, Steven</t>
  </si>
  <si>
    <t>Reichenbach's Paradise : Constructing the Realm of Probabilstic Common Causes</t>
  </si>
  <si>
    <t>Wronski, Leszek</t>
  </si>
  <si>
    <t>Tango Lessons : Movement, Sound, Image, and Text in Contemporary Practice</t>
  </si>
  <si>
    <t>Miller, Marilyn G.</t>
  </si>
  <si>
    <t>Médialité et Interprétation Contemporaine des Premières Guerres de Religion</t>
  </si>
  <si>
    <t>Haug-Moritz, Gabriele</t>
  </si>
  <si>
    <t>Fear and Loathing in the North : Jews and Muslims in Medieval Scandinavia and the Baltic Region</t>
  </si>
  <si>
    <t>Heß, Cordelia</t>
  </si>
  <si>
    <t>The Contents of Perceptual Experience: a Kantian Perspective : A Kantian Perspective</t>
  </si>
  <si>
    <t>Tomaszewska, Anna</t>
  </si>
  <si>
    <t>Youth and Experiences of Ageing among Maa : Models of Society Evoked by the Maasai, Samburu, and Chamus of Kenya</t>
  </si>
  <si>
    <t>Spencer, Paul</t>
  </si>
  <si>
    <t>Palpation Für das Beckenbodentraining</t>
  </si>
  <si>
    <t>Hanzal, Engelbert</t>
  </si>
  <si>
    <t>Karolingische Klöster : Wissenstransfer und Kulturelle Innovation</t>
  </si>
  <si>
    <t>Becker, Julia</t>
  </si>
  <si>
    <t>Information and Communications Technology : In the 21st Century Classroom</t>
  </si>
  <si>
    <t>Pérez Marín, Diana</t>
  </si>
  <si>
    <t>Soviet Garrisons and German Administration in the Soviet Occupied Zone and Early East Germany: Documents</t>
  </si>
  <si>
    <t>Schriftträger - Textträger : Zur Materialen Präsenz des Geschriebenen in Frühen Gesellschaften</t>
  </si>
  <si>
    <t>Kehnel, Annette</t>
  </si>
  <si>
    <t>Erscheinungsformen und Handhabungen Heiliger Schriften</t>
  </si>
  <si>
    <t>Quack, Joachim Friedrich</t>
  </si>
  <si>
    <t>Verborgen, Unsichtbar, Unlesbar - Zur Problematik Restringierter Schriftpräsenz</t>
  </si>
  <si>
    <t>Frese, Tobias</t>
  </si>
  <si>
    <t>Family Life in Adolescence</t>
  </si>
  <si>
    <t>Noller, Patricia</t>
  </si>
  <si>
    <t>Praxeologie : Beiträge Zur Interdisziplinären Reichweite Praxistheoretischer Ansätze in Den Geistes- und Sozialwissenschaften</t>
  </si>
  <si>
    <t>Elias, Friederike</t>
  </si>
  <si>
    <t>Introduction to Modern Instrumentation : For Hydraulics and Environmental Sciences</t>
  </si>
  <si>
    <t>Guaraglia, Dardo Oscar</t>
  </si>
  <si>
    <t>Copular Clauses and Focus Marking in Sumerian</t>
  </si>
  <si>
    <t>Zólyomi, Gábor</t>
  </si>
  <si>
    <t>Plug&amp;Play Places : Lifeworlds of Multilocal Creative Knowledge Workers</t>
  </si>
  <si>
    <t>Nadler, Robert</t>
  </si>
  <si>
    <t>Marine Propulsion Simulation : Methods and Results</t>
  </si>
  <si>
    <t>Martelli, Michele</t>
  </si>
  <si>
    <t>Papier Im Mittelalterlichen Europa : Herstellung und Gebrauch</t>
  </si>
  <si>
    <t>Meyer, Carla</t>
  </si>
  <si>
    <t>Lucan und der Prinzipat : Inkonsistenz und Unzuverlässiges Erzählen Im Bellum Civile</t>
  </si>
  <si>
    <t>Kimmerle, Nadja</t>
  </si>
  <si>
    <t>Turbulence : A Corporate Perspective on Collaborating for Resilience</t>
  </si>
  <si>
    <t>Mullie, Roland</t>
  </si>
  <si>
    <t>Exhibiting Cinema in Contemporary Art</t>
  </si>
  <si>
    <t>Balsom, Erika</t>
  </si>
  <si>
    <t>Improvising Cinema</t>
  </si>
  <si>
    <t>Mouëllic, Gilles</t>
  </si>
  <si>
    <t>Fabricating the Absolute Fake - Revised Edition : America in Contemporary Pop Culture - Revised Edition</t>
  </si>
  <si>
    <t>Kooijman, Jaap</t>
  </si>
  <si>
    <t>Preserving and Exhibiting Media Art : Challenges and Perspectives</t>
  </si>
  <si>
    <t>Saba, Cosetta</t>
  </si>
  <si>
    <t>Educational Mobility of Second-Generation Turks : Cross-National Perspectives</t>
  </si>
  <si>
    <t>Schnell, Philipp</t>
  </si>
  <si>
    <t>Migration from the Middle East and North Africa to Europe : Past Developments, Current Status and Future Potentials</t>
  </si>
  <si>
    <t>Fassmann, Heinz</t>
  </si>
  <si>
    <t>Transit Migration in Europe</t>
  </si>
  <si>
    <t>Molodikova, Irina</t>
  </si>
  <si>
    <t>The Vanguard of the Atlantic World : Creating Modernity, Nation, and Democracy in Nineteenth-Century Latin America</t>
  </si>
  <si>
    <t>Sanders, James E.</t>
  </si>
  <si>
    <t>Gemeinwohl Durch Wettbewerb? : Berichte und Diskussionen Auf der Tagung der Vereinigung der Deutschen Staatsrechtslehrer in Graz Vom 7. Bis 10. Oktober 2009</t>
  </si>
  <si>
    <t>Soziale Elite und Christentum : Studien Zu Ordo-Angehörigen Unter Den Frühen Christen</t>
  </si>
  <si>
    <t>Weiß, Alexander</t>
  </si>
  <si>
    <t>A Typological Perspective on Latvian Grammar</t>
  </si>
  <si>
    <t>Kalnaca, Andra</t>
  </si>
  <si>
    <t>Made in Canada, Read in Spain : Essays on the Translation and Circulation of English-Canadian Literature</t>
  </si>
  <si>
    <t>Somacarrera, Pilar</t>
  </si>
  <si>
    <t>Biochemistry Laboratory Manual for Undergraduates : An Inquiry-Based Approach</t>
  </si>
  <si>
    <t>Gerczei Fernandez, Timea</t>
  </si>
  <si>
    <t>Antike Mythologie in Christlichen Kontexten der Spätantike</t>
  </si>
  <si>
    <t>Introduction to Paremiology : A Comprehensive Guide to Proverb Studies</t>
  </si>
  <si>
    <t>Hrisztova-Gotthardt, Hrisztalina</t>
  </si>
  <si>
    <t>Materiality, Techniques and Society in Pottery Production : The Technological Study of Archaeological Ceramics Through Paste Analysis</t>
  </si>
  <si>
    <t>Albero Santacreu, Daniel</t>
  </si>
  <si>
    <t>Creativity: the Actor in Performance : The Actor in Performance</t>
  </si>
  <si>
    <t>Trenos, Helen</t>
  </si>
  <si>
    <t>Mathematics for the Physical Sciences</t>
  </si>
  <si>
    <t>Copley, Leslie</t>
  </si>
  <si>
    <t>Interacting with Presence : HCI and the Sense of Presence in Computer-Mediated Environments</t>
  </si>
  <si>
    <t>Miniaturization in Sample Preparation</t>
  </si>
  <si>
    <t>Pena Pereira, Francisco</t>
  </si>
  <si>
    <t>Enabling Positive Change : Flow and Complexity in Daily Experience</t>
  </si>
  <si>
    <t>Inghilleri, Paolo</t>
  </si>
  <si>
    <t>Arab Women in Algeria</t>
  </si>
  <si>
    <t>Auclert, Hubertine</t>
  </si>
  <si>
    <t>Irregular Migrants in Belgium and the Netherlands : Aspirations and Incorporation</t>
  </si>
  <si>
    <t>van Meeteren, Masja</t>
  </si>
  <si>
    <t>The Making of the Humanities, Volume III : The Modern Humanities</t>
  </si>
  <si>
    <t>Bod, Rens</t>
  </si>
  <si>
    <t>Textbook of Cortical Brain Stimulation</t>
  </si>
  <si>
    <t>Canavero, Sergio</t>
  </si>
  <si>
    <t>Body Law and the Body of Law : A Comparative Study of Social Norm Inclusion in Norwegian and American Laws</t>
  </si>
  <si>
    <t>Hassenstab, Christine M.</t>
  </si>
  <si>
    <t>Galeni in Hippocratis Epidemiarum Librum I Commentariorum I-III Versio Arabica : Edidit, in Linguam Anglicam Vertit, Commentatus Est</t>
  </si>
  <si>
    <t>Vagelpohl, Uwe</t>
  </si>
  <si>
    <t>Metapher und Metonymie : Theoretische, Methodische und Empirische Zugänge</t>
  </si>
  <si>
    <t>Modern Slavery : A Comparative Study of the Definition of Trafficking in Persons</t>
  </si>
  <si>
    <t>Jansson, Dominika Borg</t>
  </si>
  <si>
    <t>How Climate Change Comes to Matter : The Communal Life of Facts</t>
  </si>
  <si>
    <t>Callison, Candis</t>
  </si>
  <si>
    <t>Portrait of a Young Painter : Pepe Zuniga and Mexico City's Rebel Generation</t>
  </si>
  <si>
    <t>Vaughan, Mary Kay</t>
  </si>
  <si>
    <t>Why Do We Do What We Do? : Motivation in History and the Social Sciences</t>
  </si>
  <si>
    <t>MacMullen, Ramsay</t>
  </si>
  <si>
    <t>Language MOOCs : Providing Learning, Transcending Boundaries</t>
  </si>
  <si>
    <t>The Erosion of Constitutional Requirements. Reports and Discussions from the Meeting of the Association of German Constitutional Law Teachers in Erlangen from 1st to 4th of October 2008 : Berichte und Diskussionen Auf der Tagung der Vereinigung der Deutschen Staatsrechtslehrer in Erlangen Vom 1. Bis 4. Oktober 2008</t>
  </si>
  <si>
    <t>Sacksofsky, Ute</t>
  </si>
  <si>
    <t>Dionysos in Classical Athens : An Understanding Through Images</t>
  </si>
  <si>
    <t>Isler-Kerényi, Cornelia</t>
  </si>
  <si>
    <t>Globalization and Minority Cultures : The Role of Minor Cultural Groups in Shaping Our Global Future</t>
  </si>
  <si>
    <t>Croisy, Sophie</t>
  </si>
  <si>
    <t>Documents and the History of the Early Islamic World : 3rd Conference of the International Society for Arabic Papyrology, Alexandria, 23-26 March 2006</t>
  </si>
  <si>
    <t>International Society for Arabyic Papyrology, Conference Staff</t>
  </si>
  <si>
    <t>Materiale Textkulturen : Konzepte - Materialien - Praktiken</t>
  </si>
  <si>
    <t>Meier, Thomas</t>
  </si>
  <si>
    <t>An Introduction to Nonlinear Optimization Theory</t>
  </si>
  <si>
    <t>Durea, Marius</t>
  </si>
  <si>
    <t>Commercial Orchids</t>
  </si>
  <si>
    <t>De, Lakshman Chandra</t>
  </si>
  <si>
    <t>L' historiographie Tardo-Antique et la Transmission des Savoirs</t>
  </si>
  <si>
    <t>Blaudeau, Philippe</t>
  </si>
  <si>
    <t>Riemann-Roch Spaces and Computation</t>
  </si>
  <si>
    <t>Alvanos, Paraskevas</t>
  </si>
  <si>
    <t>Educational Reception in Rotterdam and Barcelona : Policies, Practices and Gaps</t>
  </si>
  <si>
    <t>Bruquetas Callejo, Maria</t>
  </si>
  <si>
    <t>New Publication Cultures in the Humanities : Exploring the Paradigm Shift</t>
  </si>
  <si>
    <t>Dávidházi, Péter</t>
  </si>
  <si>
    <t>The Work of Authorship</t>
  </si>
  <si>
    <t>van Eechoud, Mireille</t>
  </si>
  <si>
    <t>Ästhetik der Unabgeschlossenheit : Das Subjekt des lebenslangen Lernens</t>
  </si>
  <si>
    <t>transcript</t>
  </si>
  <si>
    <t>Schlögl, Peter</t>
  </si>
  <si>
    <t>Teilnahme an Weiterbildung in der Migrationsgesellschaft : Perspektiven deutscher Frauen mit »Migrationshintergrund«</t>
  </si>
  <si>
    <t>Heinemann, Alisha M.B.</t>
  </si>
  <si>
    <t>»Hauptsache ein Job später« : Arbeitsweltliche Vorstellungen und Bewältigungsstrategien von Jugendlichen mit Hauptschulhintergrund</t>
  </si>
  <si>
    <t>Dempki, Carolin</t>
  </si>
  <si>
    <t>Community-Based Urban Violence Prevention : Innovative Approaches in Africa, Latin America, Asia and the Arab Region</t>
  </si>
  <si>
    <t>Mathéy, Kosta</t>
  </si>
  <si>
    <t>Berufsbildungsforschung : Alte und neue Fragen eines Forschungsfeldes</t>
  </si>
  <si>
    <t>Soziale Formen : Fortführung eines soziologischen Programms</t>
  </si>
  <si>
    <t>Karafillidis, Athanasios</t>
  </si>
  <si>
    <t>Aufklärung, Wissenschaft und lebensentfaltende Bildung : Geschichte und Gegenwart einer großen Hoffnung der Moderne</t>
  </si>
  <si>
    <t>(verst.), Peter Faulstich</t>
  </si>
  <si>
    <t>Verortungen der Interkulturalität : Die ›Europäischen Kulturhauptstädte‹ Luxemburg und die Großregion (2007), das Ruhrgebiet (2010) und Istanbul (2010)</t>
  </si>
  <si>
    <t>Ernst, Thomas</t>
  </si>
  <si>
    <t>Werbung und Identität im multikulturellen Raum : Der Werbediskurs in Luxemburg. Ein kommunikationswissenschaftlicher Beitrag</t>
  </si>
  <si>
    <t>Reddeker, Sebastian</t>
  </si>
  <si>
    <t>The Practice of Philology in the Nineteenth-Century Netherlands</t>
  </si>
  <si>
    <t>van Kalmthout, Ton</t>
  </si>
  <si>
    <t>Bilingual Europe : Latin and Vernacular Cultures - Examples of Bilingualism and Multilingualism C. 1300-1800</t>
  </si>
  <si>
    <t>Bloemendal, Jan</t>
  </si>
  <si>
    <t>Playful Identities : The Ludification of Digital Media Cultures</t>
  </si>
  <si>
    <t>Anfangsjahre der Berlin-Krise (Herbst 1958 Bis Herbst 1960)</t>
  </si>
  <si>
    <t>Wettig, Gerhard</t>
  </si>
  <si>
    <t>Inspice Diligenter Codices : Philologische Studien Zu Augustins Umgang Mit Bibelhandschriften Und -übersetzungen</t>
  </si>
  <si>
    <t>Schirner, Rebekka S.</t>
  </si>
  <si>
    <t>Öffnung der öffentlich-Rechtlichen Methode Durch Internationalität und InterdisziplinaritäT. Dritte Gewalt Im Wandel. Gestaltung des Demographischen Wandels Als Verwaltungsaufgabe. Sicherung Grund- und Menschenrechtlicher Standards ... : Referate und Diskussionen Auf der Tagung der Vereinigung der Deutschen Staatsrechtslehrer in düsseldorf Vom 1. Bis 4. Oktober 2014</t>
  </si>
  <si>
    <t>Arnauld, Andreas</t>
  </si>
  <si>
    <t>The Densification Process of Wood Waste</t>
  </si>
  <si>
    <t>Krizan, Peter</t>
  </si>
  <si>
    <t>The Far Horizons of Time : Time and Mind in the Universe</t>
  </si>
  <si>
    <t>Ransford, H. Chris</t>
  </si>
  <si>
    <t>Emerging Memory : Photographs of Colonial Atrocity in Dutch Cultural Remembrance</t>
  </si>
  <si>
    <t>Bijl, Paul</t>
  </si>
  <si>
    <t>Issue Mapping for an Ageing Europe</t>
  </si>
  <si>
    <t>Rogers, Richard</t>
  </si>
  <si>
    <t>The Integration of Descendants of Migrants from Turkey in Stockholm : The TIES Study in Sweden</t>
  </si>
  <si>
    <t>Westin, Charles</t>
  </si>
  <si>
    <t>Exercises with Solutions in Radiation Physics</t>
  </si>
  <si>
    <t>Nilsson, Bo N.</t>
  </si>
  <si>
    <t>Frieden Durch Kommunikation : Das System Genscher und Die Entspannungspolitik Im Zweiten Kalten Krieg 1979-1982/83</t>
  </si>
  <si>
    <t>Bresselau von Bressensdorf, Agnes</t>
  </si>
  <si>
    <t>The Habsburg Monarchy's Many-Languaged Soul : Translating and Interpreting, 1848-1918</t>
  </si>
  <si>
    <t>John Benjamins Publishing Company</t>
  </si>
  <si>
    <t>Wolf, Michaela</t>
  </si>
  <si>
    <t>Zukünfte : Aufstieg und Krise der Zukunftsforschung 1945-1980</t>
  </si>
  <si>
    <t>Seefried, Elke</t>
  </si>
  <si>
    <t>Erinnerung an Diktatur und Krieg : Brennpunkte des Kulturellen Gedächtnisses Zwischen Russland und Deutschland Seit 1945</t>
  </si>
  <si>
    <t>Wirsching, Andreas</t>
  </si>
  <si>
    <t>Mahnen und Regieren : Die Metapher des Hirten Im Früheren Mittelalter</t>
  </si>
  <si>
    <t>Suchan, Monika</t>
  </si>
  <si>
    <t>Unternehmer - Fakten und Fiktionen : Historisch-Biografische Studien</t>
  </si>
  <si>
    <t>Plumpe, Werner</t>
  </si>
  <si>
    <t>Der Reformator Martin Luther 2017 : Eine Wissenschaftliche und Gedenkpolitische Bestandsaufnahme</t>
  </si>
  <si>
    <t>Schilling, Heinz</t>
  </si>
  <si>
    <t>A Language of Song : Journeys in the Musical World of the African Diaspora</t>
  </si>
  <si>
    <t>Charters, Samuel</t>
  </si>
  <si>
    <t>Beyond the Witch Trials : Witchcraft and Magic in Enlightenment Europe</t>
  </si>
  <si>
    <t>Davies, Owen</t>
  </si>
  <si>
    <t>Anthropology Without Informants : Collected Works in Paleoanthropology by L. G. Freeman</t>
  </si>
  <si>
    <t>University Press of Colorado</t>
  </si>
  <si>
    <t>Freeman, L. G.</t>
  </si>
  <si>
    <t>Ancient Households of the Americas : Conceptualizing What Households Do</t>
  </si>
  <si>
    <t>Douglass, John G.</t>
  </si>
  <si>
    <t>Bildung und Briefe Im 6. Jahrhundert : Studien Zum Mailänder Diakon Magnus Felix Ennodius</t>
  </si>
  <si>
    <t>The German Prose Poem. Theory and History of a Modern Literary Genre : Theorie und Geschichte einer literarischen Gattung der Moderne</t>
  </si>
  <si>
    <t>Bunzel, Wolfgang</t>
  </si>
  <si>
    <t>Barbarische Bürger : Die Isaurier und das Römische Reich</t>
  </si>
  <si>
    <t>Feld, Karl</t>
  </si>
  <si>
    <t>Artikel 12 GG - Freiheit des Berufs und Grundrecht der Arbeit. der Verwaltungsvorbehalt : Berichte und Diskussionen Auf der Tagung der Vereinigung der Deutschen Staatsrechtslehrer in Göttingen Vom 3. Bis 6. Oktober 1984</t>
  </si>
  <si>
    <t>Schneider, Hans-Peter</t>
  </si>
  <si>
    <t>Childhood in the Middle Ages and the Renaissance : The Results of a Paradigm Shift in the History of Mentality</t>
  </si>
  <si>
    <t>Classen, Albrecht</t>
  </si>
  <si>
    <t>Die Europäisierung des Privatrechts und Die Rechtsvergleichung : Vortrag, Gehalten Vor der Juristischen Gesellschaft Zu Berlin Am 15. Juni 2005</t>
  </si>
  <si>
    <t>Zimmermann, Reinhard</t>
  </si>
  <si>
    <t>Körper und Christliche Lebensweise : Clemens Von Alexandreia und Sein Paidagogos</t>
  </si>
  <si>
    <t>Pujiula, Martin</t>
  </si>
  <si>
    <t>How Successful Is Naturalism?</t>
  </si>
  <si>
    <t>Gasser, Georg</t>
  </si>
  <si>
    <t>Das Gesetz Als Norm und Maßnahme. das Besondere Gewaltverhältnis : Berichte und Aussprache Zu Den Berichten in Den Verhandlungen der Tagung der Deutschen Staatsrechtslehrer Zu Mainz Am 11. und 12. Oktober 1956</t>
  </si>
  <si>
    <t>Menger, Christian-Friedrich</t>
  </si>
  <si>
    <t>Language Endangerment and Language Revitalization : An Introduction</t>
  </si>
  <si>
    <t>Tsunoda, Tasaku</t>
  </si>
  <si>
    <t>Kabinettsfrage und Gesetzgebungsnotstand Nach Dem Bonner Grundgesetz. Tragweite der Generalklausel Im Art. 19 Abs. 4 des Bonner Grundgesetzes : Verhandlungen der Tagung der Deutschen Staatsrechtslehrer Zu Heidelberg Am 20. und 21. Oktober 1949. Mit Einem Auszug Aus der Aussprache</t>
  </si>
  <si>
    <t>Jellinek, Walter</t>
  </si>
  <si>
    <t>Begriff und Wesen des Sozialen Rechtsstaates. Die Auswärtige Gewalt der Bundesrepublik : Berichte und Aussprache Zu Den Berichten in Den Verhandlungen der Tagung der Deutschen Staatsrechtslehrer Zu Bonn Am 15. und 16. Oktober 1953</t>
  </si>
  <si>
    <t>Forsthoff, Ernst</t>
  </si>
  <si>
    <t>Die Grenzen der Verfassungsgerichtsbarkeit. Die Gestaltung des Polizei- und Ordnungsrechts in Den Einzelnen Besatzungszonen : Verhandlungen der Tagung der Deutschen Staatsrechtslehrer Zu München Am 20. und 21. Oktober 1950. Mit Einem Auszug Aus der Aussprache</t>
  </si>
  <si>
    <t>Kaufmann, Erich</t>
  </si>
  <si>
    <t>Der Grundrechtseingriff. Öffentlich-Rechtliche Rahmenbedingungen Einer Informationsordnung : Berichte und Diskussionen Auf der Tagung der Vereinigung der Deutschen Staatsrechtslehrer in Osnabrück Vom 1. Bis 4. Oktober 1997</t>
  </si>
  <si>
    <t>Bethge, Herbert</t>
  </si>
  <si>
    <t>Staatszwecke Im Verfassungsstaat - Nach 40 Jahren Grundgesetz. Die Bewältigung der Wissenschaftlichen und Technischen Entwicklungen Durch das Verwaltungsrecht : Berichte und Diskussionen Auf der Tagung der Vereinigung der Deutschen Staatsrechtslehrer in Hannover Vom 4. Bis 7. Oktober 1989</t>
  </si>
  <si>
    <t>Link, Heinz-Christoph</t>
  </si>
  <si>
    <t>Ungeschriebenes Verfassungsrecht. Enteignung und Sozialisierung : Verhandlungen der Tagung der Deutschen Staatsrechtslehrer Zu Göttingen Am 18. und 19. Oktober 1951. Mit Einem Auszug Aus der Aussprache</t>
  </si>
  <si>
    <t>Deutschlands Aktuelle Verfassungslage : Berichte und Diskussionen Auf der Sondertagung der Vereinigung der Deutschen Staatsrechtslehrer in Berlin Am 27. April 1990</t>
  </si>
  <si>
    <t>Frowein, Jochen A.</t>
  </si>
  <si>
    <t>Das Parlamentarische Regierungssystem des Grundgesetzes. Organisierte Einwirkungen Auf Die Verwaltung : Anlage - Erfahrungen - Zukunftseignung. Zur Lage der Zweiten Gewalt. Berichte und Diskussionen Auf der Tagung der Vereinigung der Deutschen Staatsrechtslehrer in Bielefeld Vom 2. Bis 5. Oktober 1974</t>
  </si>
  <si>
    <t>Oppermann, Thomas</t>
  </si>
  <si>
    <t>Verfassungsrecht und Einfaches Recht - Verfassungsgerichtsbarkeit und Fachgerichtsbarkeit. Primär- und Sekundärrechtsschutz Im Öffentlichen Recht : Berichte und Diskussionen Auf der Tagung der Vereinigung der Deutschen Staatsrechtslehrer in Würzburg Vom 3. Bis 6. Oktober 2001</t>
  </si>
  <si>
    <t>Alexy, Robert</t>
  </si>
  <si>
    <t>Die Staatsrechtslehre und Die Veränderung Ihres Gegenstandes. Gewährleistung Von Freiheit und Sicherheit Im Lichte Unterschiedlicher Staats- und Verfassungsverständnisse. Risikosteuerung Durch Verwaltungsrecht. Transparente Verwaltung - Konturen... : Berichte und Diskussionen Auf der Tagung der Vereinigung der Deutschen Staatsrechtslehrer in Hamburg Vom 1. Bis 4. Oktober 2003</t>
  </si>
  <si>
    <t>Kokott, Juliane</t>
  </si>
  <si>
    <t>Arbeitsmarkt und Staatliche Lenkung. Staat und Religion : Berichte und Diskussionen Auf der Tagung der Vereinigung der Deutschen Staatsrechtslehrer in Heidelberg Vom 6. Bis 9. Oktober 1999</t>
  </si>
  <si>
    <t>Wieland, Joachim</t>
  </si>
  <si>
    <t>Die Bindung des Richters an Gesetz und Verfassung. Verwaltungsverantwortung und Verwaltungsgerichtsbarkeit : Berichte und Diskussionen Auf der Tagung der Vereinigung der Deutschen Staatsrechtslehrer in Augsburg Vom 1. Bis 4. Oktober 1975</t>
  </si>
  <si>
    <t>Roellecke, Gerd</t>
  </si>
  <si>
    <t>Der Verfassungsstaat Als Glied Einer Europäischen Gemeinschaft. Verwaltungsrecht Als Vorgabe Für Zivil- und Strafrecht : Berichte und Diskussionen Auf der Tagung der Vereinigung der Deutschen Staatsrechtslehrer in Zürich Vom 3. Bis 6. Oktober 1990</t>
  </si>
  <si>
    <t>Die Bedeutung Gliedstaatlichen Verfassungsrechts in der Gegenwart. Die Einheit der Verwaltung Als Rechtsproblem : Berichte und Diskussionen Auf der Tagung der Vereinigung der Deutschen Staatsrechtslehrer in Passau Vom 7. Bis 10. Oktober 1987</t>
  </si>
  <si>
    <t>Vitzthum, Wolfgang</t>
  </si>
  <si>
    <t>Parteienstaatlichkeit - Krisensymptome des Demokratischen Verfassungsstaats? Die öffentlichrechtliche Anstalt : Berichte und Diskussionen Auf der Tagung der Vereinigung der Deutschen Staatsrechtslehrer in Freiburg I. Ue/CH Vom 2. Bis 5. Oktober 1985</t>
  </si>
  <si>
    <t>Stolleis, Michael</t>
  </si>
  <si>
    <t>Bürgerverantwortung Im Demokratischen Verfassungsstaat / Kontrolle der Verwaltung Durch Rechnungshöfe : Berichte und Diskussionen Auf der Tagung der Vereinigung der Deutschen Staatsrechtslehrer in Wien Vom 4. Bis 7. Oktober 1995</t>
  </si>
  <si>
    <t>Merten, Detlef</t>
  </si>
  <si>
    <t>Verträge Zwischen Gliedstaaten Im Bundesstaat. Schranken Nichthoheitlicher Verwaltung : Aussprache Zu Den Berichten in Den Verhandlungen der Tagung der Deutschen Staatsrechtslehrer Zu Köln Vom 12. Bis 15. Oktober 1960</t>
  </si>
  <si>
    <t>Die Staatsrechtliche Stellung der Ausländer in der Bundesrepublik Deutschland. Vertrauensschutz Im Verwaltungsrecht : Berichte und Diskussionen Auf der Tagung der Vereinigung der Deutschen Staatsrechtslehrer in Mannheim Vom 3. Bis 6. Oktober 1973</t>
  </si>
  <si>
    <t>Doehring, Karl</t>
  </si>
  <si>
    <t>Der Deutsche Föderalismus. Die Diktatur des Reichspräsidenten : Verhandlungen der Tagung der Deutschen Staatsrechtslehrer Zu Jena Am 14. und 15. April 1924. Mit Eröffnungsansprache und Einer Zusammenfassung der Diskussionsreden</t>
  </si>
  <si>
    <t>Gemeinschaftsaufgaben Im Bundesstaat. Partizipation an Verwaltungsentscheidungen : Berichte und Diskussionen Auf der Tagung der Vereinigung der Deutschen Staatsrechtslehrer in Salzburg Vom 4. Bis 7. Oktober 1972</t>
  </si>
  <si>
    <t>Das Grundgesetz und Die öffentliche Gewalt Internationaler Staatengemeinschaften. der Plan Als Verwaltungsrechtliches Institut : Berichte und Aussprache Zu Den Berichten in Den Verhandlungen der Tagung der Deutschen Staatsrechtslehrer Zu Erlangen Vom 7. Bis 9. Oktober 1959</t>
  </si>
  <si>
    <t>Erler, Georg</t>
  </si>
  <si>
    <t>Die Verfassungsrechtliche Stellung der Politischen Parteien Im Modernen Staat. das Verwaltungsverfahren : Berichte und Auszug Aus der Aussprache Zu Den Berichten in Den Verhandlungen der Tagung der Deutschen Staatsrechtslehrer Zu Wien Am 9. und 10. Oktober 1958</t>
  </si>
  <si>
    <t>Hesse, Konrad</t>
  </si>
  <si>
    <t>Die Staatliche Intervention Im Bereich der Wirtschaft. Rechtsformen und Rechtsschutz. Die Gegenwartslage des Staatskirchenrechts : Verhandlungen der Tagung der Deutschen Staatsrechtslehrer Zu Marburg Am 16. und 17. Oktober 1952. Mit Einem Auszug Aus der Aussprache</t>
  </si>
  <si>
    <t>Scheuner, Ulrich</t>
  </si>
  <si>
    <t>Prinzipien der Verfassungsinterpretation. Gefährdungshaftung Im öffentlichen Recht : Aussprache Zu Den Berichten in Den Verhandlungen der Tagung der Deutschen Staatsrechtslehrer Zu Freiburg Vom 4. Bis 7. Oktober 1961</t>
  </si>
  <si>
    <t>Schneider, Peter</t>
  </si>
  <si>
    <t>Die Finanzverfassung Im Rahmen der Staatsverfassung. Verwaltung und Verwaltungsrechtsprechung : Berichte und Aussprache Zu Den Berichten in Den Verhandlungen der Tagung der Deutschen Staatsrechtslehrer Zu Hamburg Am 13. und 14. Oktober 1955</t>
  </si>
  <si>
    <t>Hettlage, Karl M.</t>
  </si>
  <si>
    <t>Leistungsgrenzen des Verfassungsrechts. Öffentliche Gemeinwohlverantwortung Im Wandel : Berichte und Diskussionen Auf der Tagung der Vereinigung der Deutschen Staatsrechtslehrer in St. Gallen Vom 1. Bis 5. Oktober 2002</t>
  </si>
  <si>
    <t>Herdegen, Matthias</t>
  </si>
  <si>
    <t>Der Verfassungsstaat Im Geflecht der Internationalen Beziehungen. Gemeinden und Kreise Vor Den öffentlichen Aufgaben der Gegenwart : Berichte und Diskussionen Auf der Tagung der Vereinigung der Deutschen Staatsrechtslehrer in Basel Vom 5. Bis 8. Oktober 1977</t>
  </si>
  <si>
    <t>Europäische Union. Deutsches und Europäisches Verwaltungsrecht - Wechselseitige Einwirkungen : Gefahr Oder Chance Für Den Föderalismus in Deutschland, Österreich und der Schweiz? Berichte und Diskussionen Auf der Tagung der Vereinigung der Deutschen Staatsrechtslehrer in Mainz Vom 6. Bis 9. Oktober 1993</t>
  </si>
  <si>
    <t>Hilf, Meinhard</t>
  </si>
  <si>
    <t>Die Verfassungsgerichtsbarkeit Im Gefüge der Staatsfunktionen. Besteuerung und Eigentum : Berichte und Diskussionen Auf der Tagung der Vereinigung der Deutschen Staatsrechtslehrer Zu Innsbruck Vom 1. Bis 4. Oktober 1980</t>
  </si>
  <si>
    <t>Korinek, Karl</t>
  </si>
  <si>
    <t>Bewahrung und Veränderung Demokratischer und Rechtsstaatlicher Verfassungsstruktur in Den Internationalen Gemeinschaften. Verwaltung und Schule : Aussprache Zu Den Berichten in Den Verhandlungen der Tagung der Deutschen Staatsrechtslehrer Zu Kiel Vom 9. Bis 12. Oktober 1964</t>
  </si>
  <si>
    <t>Kaiser, Joseph H.</t>
  </si>
  <si>
    <t>Der Schutz des öffentlichen Rechts. Die Neueste Entwicklung des Gemeindeverfassungsrechts : Verhandlungen der Tagung der Deutschen Staatsrechtslehrer Zu Leipzig Am 10. und 11. März 1925. Mit Eröffnungs- und Begrüßungsansprachen Sowie Einer Zusammenfassung der Diskussionsreden</t>
  </si>
  <si>
    <t>Die Kirchen Unter Dem Grundgesetz. Führung und Organisation der Streitkräfte Im Demokratisch-Parlamentarischen Staat : Aussprache Zu Den Berichten in Den Verhandlungen der Tagung der Deutschen Staatsrechtslehrer Zu Frankfurt Am Main Vom 4. Bis 7. Oktober 1967</t>
  </si>
  <si>
    <t>Heckel, Martin</t>
  </si>
  <si>
    <t>Öffentlicher Haushalt und Wirtschaft. Die Stellung der Studenten in der Universität : Aussprache Zu Den Berichten in Den Verhandlungen der Tagung der Deutschen Staatsrechtslehrer Zu Bochum Vom 2. Bis 5. Oktober 1968</t>
  </si>
  <si>
    <t>Friauf, Karl H.</t>
  </si>
  <si>
    <t>Verfassungstreue und Schutz der Verfassung. der öffentliche Dienst Im Staat der Gegenwart : Berichte und Diskussionen Auf der Tagung der Vereinigung der Deutschen Staatsrechtslehrer in Bonn Vom 4. - 7. Oktober 1978</t>
  </si>
  <si>
    <t>Kulturauftrag Im Staatlichen Gemeinwesen. Die Steuerung des Verwaltungshandelns Durch Haushaltsrecht und Haushaltskontrolle : Berichte und Diskussionen Auf der Tagung der Vereinigung der Deutschen Staatsrechtslehrer in Köln Vom 28. September Bis 1. Oktober 1983</t>
  </si>
  <si>
    <t>Steiner, Udo</t>
  </si>
  <si>
    <t>Grundsätze der Finanzverfassung des Vereinten Deutschlands. Verträge und Absprachen Zwischen der Verwaltung und Privaten : Berichte und Diskussionen Auf der Tagung der Vereinigung der Deutschen Staatsrechtslehrer in Bayreuth Vom 7. Bis 10. Oktober 1992</t>
  </si>
  <si>
    <t>Selmer, Peter</t>
  </si>
  <si>
    <t>Grundpflichten Als Verfassungsrechtliche Dimension. Verwaltungsverfahren Zwischen Verwaltungseffizienz und Rechtsschutzauftrag : Berichte und Diskussionen Auf der Tagung der Vereinigung der Deutschen Staatsrechtslehrer in Konstanz Vom 6. Bis 9. Oktober 1982</t>
  </si>
  <si>
    <t>Erziehungsauftrag und Erziehungsmaßstab der Schule Im Freiheitlichen Verfassungsstaat. Privatisierung Von Verwaltungsaufgaben : Berichte und Diskussionen Auf der Tagung der Vereinigung der Deutschen Staatsrechtslehrer in Halle/Saale Vom 5. Bis 8. Oktober 1994</t>
  </si>
  <si>
    <t>Bothe, Michael</t>
  </si>
  <si>
    <t>Das Staatsoberhaupt in der Parlamentarischen Demokratie. Verwaltung Durch Subventionen : Aussprache Zu Den Berichten in Den Verhandlungen der Tagung der Deutschen Staatsrechtslehrer Zu Graz Vom 12. Bis 15. Oktober 1966</t>
  </si>
  <si>
    <t>Kimminich, Otto</t>
  </si>
  <si>
    <t>Unternehmen und Unternehmer in der Verfassungsrechtlichen Ordnung der Wirtschaft. der Schutz der Allgemeinheit und der Individuellen Rechte Durch Die Polizei- und Ordnungsrechtlichen Handlungsvollmachten der Exekutive : Berichte und Diskussionen Auf der Tagung der Vereinigung der Deutschen Staatsrechtslehrer in Heidelberg Vom 6. Bis 9. Oktober 1976</t>
  </si>
  <si>
    <t>Föderalismus Als Nationales und Internationales Ordnungsprinzip. Die öffentliche Sache : Aussprache Zu Den Berichten in Den Verhandlungen der Tagung der Deutschen Staatsrechtslehrer Zu Münster (Westfalen) Vom 3. Bis 6. Oktober 1962</t>
  </si>
  <si>
    <t>Der Rechtsstaat und Die Aufarbeitung der Vor-Rechtsstaatlichen Vergangenheit. Eigentumsschutz, Sozialbindung und Enteignung Bei der Nutzung Von Boden und Umwelt : Berichte und Diskussionen Auf der Tagung der Vereinigung der Deutschen Staatsrechtslehrer in Gießen Vom 2. Bis 5. Oktober 1991</t>
  </si>
  <si>
    <t>Verfassungsgarantie und Sozialer Wandel. das Beispiel Von Ehe und Familie. Rechtsverhältnisse in der Leistungsverwaltung : Berichte und Diskussionen Auf der Tagung der Vereinigung der Deutschen Staatsrechtslehrer in München Vom 15. Bis 18. Oktober 1986</t>
  </si>
  <si>
    <t>Campenhausen, Axel von</t>
  </si>
  <si>
    <t>Wesen und Entwicklung der Staatsgerichtsbarkeit. Überprüfung Von Verwaltungsakten Durch Die Ordentlichen Gerichte : Verhandlungen der Tagung der Deutschen Staatsrechtslehrer Zu Wien Am 23. und 24. April 1928. Mit Einem Auszug Aus der Aussprache</t>
  </si>
  <si>
    <t>Triepel, Heinrich</t>
  </si>
  <si>
    <t>Deutschland Nach 30 Jahren Grundgesetz. Staatsaufgabe Umweltschutz : Berichte und Diskussionen Auf der Tagung der Vereinigung der Deutschen Staatsrechtslehrer in Berlin Vom 3. - 6. Oktober 1979</t>
  </si>
  <si>
    <t>Der Gleichheitssatz. Gesetzesgestaltung und Gesetzesanwendung Im Leistungsrecht : Berichte und Diskussionen Auf der Tagung der Vereinigung der Deutschen Staatsrechtslehrer in Tübingen Vom 5. Bis 8. Oktober 1988</t>
  </si>
  <si>
    <t>Zippelius, Reinhold</t>
  </si>
  <si>
    <t>Gesetzgebung Im Rechtsstaat. Selbstbindungen der Verwaltung : Berichte und Diskussionen Auf der Tagung der Vereinigung der Deutschen Staatsrechtslehrer in Trier Vom 30. September - 3. Oktober 1981</t>
  </si>
  <si>
    <t>Eichenberger, Kurt</t>
  </si>
  <si>
    <t>Bundesstaatliche und Gliedstaatliche Rechtsordnung. Verwaltungsrecht der öffentlichen Anstalt : Verhandlungen der Tagung der Deutschen Staatsrechtslehrer Zu Frankfurt A. M. Am 25. und 26. April 1929. Mit Einem Auszug Aus der Aussprache</t>
  </si>
  <si>
    <t>Fleiner, Fritz</t>
  </si>
  <si>
    <t>Die Deutsche Staatsrechtslehre in der Zeit des Nationalsozialismus. Europäisches und Nationales Verfassungsrecht. der Staat Als Wirtschaftssubjekt und Auftraggeber : Berichte und Diskussionen Auf der Tagung der Vereinigung der Deutschen Staatsrechtslehrer in Leipzig Vom 4. Bis 6. Oktober 2000</t>
  </si>
  <si>
    <t>Dreier, Horst</t>
  </si>
  <si>
    <t>Das Parlamentarische Regierungssystem und der Bundesrat - Entwicklungsstand und Reformbedarf. Rechtliche Optimierungsgebote Oder Rahmensetzungen Für das Verwaltungshandeln? : Berichte und Diskussionen Auf der Tagung der Vereinigung der Deutschen Staatsrechtslehrer in Potsdam Vom 7. Bis 10. Oktober 1998</t>
  </si>
  <si>
    <t>Dolzer, Rudolf</t>
  </si>
  <si>
    <t>Grundrechte Im Leistungsstaat. Die Dogmatik des Verwaltungsrechts Vor Den Gegenwartsaufgaben der Verwaltung : Berichte und Diskussionen Auf der Tagung der Vereinigung der Deutschen Staatsrechtslehrer in Regensburg Vom 29. September Bis 2. Oktober 1971</t>
  </si>
  <si>
    <t>Martens, Wolfgang</t>
  </si>
  <si>
    <t>Entwicklung und Reform des Beamtenrechts. Die Reform des Wahlrechts : Verhandlungen der Tagung der Deutschen Staatsrechtslehrer Zu Halle Am 28. und 29. Oktober 1931. Mit Einem Auszug Aus der Aussprache</t>
  </si>
  <si>
    <t>Gerber, Hans</t>
  </si>
  <si>
    <t>Das Grundrecht der Gewissensfreiheit. Die Rechtsformen der Sozialen Sicherung und das Allgemeine Verwaltungsrecht : Berichte und Diskussionen Auf der Tagung der Vereinigung der Deutschen Staatsrechtslehrer in Bern Am 2. und 3. Oktober 1969</t>
  </si>
  <si>
    <t>Parlament und Regierung Im Modernen Staat. Die Organisationsgewalt : Berichte und Aussprache Zu Den Berichten in Den Verhandlungen der Tagung der Deutschen Staatsrechtslehrer Zu Berlin Am 10. und 11. Oktober 1957</t>
  </si>
  <si>
    <t>Friesenhahn, Ernst</t>
  </si>
  <si>
    <t>Das Demokratische Prinzip Im Grundgesetz. Die Erfüllung Von Verwaltungsaufgaben Durch Private : Berichte und Diskussionen Auf der Tagung der Vereinigung der Deutschen Staatsrechtslehrer in Speyer Am 8. und 9. Oktober 1970</t>
  </si>
  <si>
    <t>Simson, Werner von</t>
  </si>
  <si>
    <t>Staat und Verbände. Gesetzgeber und Verwaltung : Aussprache Zu Den Berichten in Den Verhandlungen der Tagung der Deutschen Staatsrechtslehrer Zu Würzburg Vom 6. Bis 9. Oktober 1965</t>
  </si>
  <si>
    <t>Pressefreiheit. Staatsaufsicht in Verwaltung und Wirtschaft : Aussprache Zu Den Berichten in Den Verhandlungen der Tagung der Deutschen Staatsrechtslehrer Zu Saarbrücken Vom 9. Bis 12. Oktober 1963</t>
  </si>
  <si>
    <t>Kontrolle der Auswärtigen Gewalt. Verwaltung und Verwaltungsrecht Zwischen Gesellschaftlicher Selbstregulierung und Staatlicher Steuerung : Berichte und Diskussionen Auf der Tagung der Vereinigung der Deutschen Staatsrechtslehrer in Dresden Vom 2. Bis 5. Oktober 1996</t>
  </si>
  <si>
    <t>Hailbronner, Kay</t>
  </si>
  <si>
    <t>Akten Zur Auswärtigen Politik der Bundesrepublik Deutschland 1952</t>
  </si>
  <si>
    <t>Koopmann, Martin</t>
  </si>
  <si>
    <t>Akten Zur Auswärtigen Politik der Bundesrepublik Deutschland 1951</t>
  </si>
  <si>
    <t>Jaroch, Matthias</t>
  </si>
  <si>
    <t>Akten Zur Auswärtigen Politik der Bundesrepublik Deutschland 1970</t>
  </si>
  <si>
    <t>Pautsch, Ilse Dorothee</t>
  </si>
  <si>
    <t>Akten Zur Auswärtigen Politik der Bundesrepublik Deutschland 1967</t>
  </si>
  <si>
    <t>Akten Zur Auswärtigen Politik der Bundesrepublik Deutschland 1949-1950</t>
  </si>
  <si>
    <t>Akten Zur Auswärtigen Politik der Bundesrepublik Deutschland 1969</t>
  </si>
  <si>
    <t>Akten Zur Auswärtigen Politik der Bundesrepublik Deutschland 1968</t>
  </si>
  <si>
    <t>Akten Zur Auswärtigen Politik der Bundesrepublik Deutschland 1966</t>
  </si>
  <si>
    <t>Akten Zur Auswärtigen Politik der Bundesrepublik Deutschland 1965</t>
  </si>
  <si>
    <t>Akten Zur Auswärtigen Politik der Bundesrepublik Deutschland 1963</t>
  </si>
  <si>
    <t>Akten Zur Auswärtigen Politik der Bundesrepublik Deutschland 1953</t>
  </si>
  <si>
    <t>Kriegsgefangenschaft in Großbritannien : Deutsche Soldaten des Zweiten Weltkriegs in Britischem Gewahrsam</t>
  </si>
  <si>
    <t>Held, Renate</t>
  </si>
  <si>
    <t>Deutsche Kaufleute in London : Welthandel und Einbürgerung (1660-1818)</t>
  </si>
  <si>
    <t>Schulte Beerbühl, Margrit</t>
  </si>
  <si>
    <t>Faire des Sujets du Roi : Rechtspolitik in Metz, Toul und Verdun Unter Französischer Herrschaft (1552-1648)</t>
  </si>
  <si>
    <t>Petry, Christine</t>
  </si>
  <si>
    <t>Flectat Cardinales Ad Velle Suum? Clemens VI. und Sein Kardinalskolleg : Ein Beitrag Zur Kurialen Politik in der Mitte des 14. Jahrhunderts</t>
  </si>
  <si>
    <t>Lützelschwab, Ralf</t>
  </si>
  <si>
    <t>Vergeben und Vergessen? Pardonner et Oublier? : Vergangenheitsdiskurse Nach Besatzung, Bürgerkrieg und Revolution. les Discours Sur le Passé Après l'occupation, la Guerre Civile et la Révolution</t>
  </si>
  <si>
    <t>Regnum et Imperium : Die Französisch-Deutschen Beziehungen Im 14. und 15. Jahrhundert. les Relations Franco-allemandes Au XIVe et Au XVe Siècle</t>
  </si>
  <si>
    <t>Weiß, Stefan</t>
  </si>
  <si>
    <t>Französische Herrschaftspolitik und Modernisierung : Verwaltungs- und Verfassungsreformen Im Großherzogtum Berg (1806-1813)</t>
  </si>
  <si>
    <t>Severin-Barboutie, Bettina</t>
  </si>
  <si>
    <t>Die Republik Im Zwielicht : Zur Metaphorik Von Licht und Finsternis in der Französischen Bildpublizistik 1871-1914</t>
  </si>
  <si>
    <t>Kneißl, Daniela</t>
  </si>
  <si>
    <t>Der Mögliche Frieden : Die Modernisierung der Außenpolitik und Die Deutsch-Französischen Beziehungen 1923-1929</t>
  </si>
  <si>
    <t>Blessing, Ralph</t>
  </si>
  <si>
    <t>Schön Wie Venus, Mutig Wie Mars : Anna d'Este, Herzogin Von Guise und Von Nemours (1531-1607)</t>
  </si>
  <si>
    <t>Coester, Christiane</t>
  </si>
  <si>
    <t>Die Rückkehr der Deutschen Geschichtswissenschaft in Die Ökumene der Historiker : Ein Wissenschaftsgeschichtlicher Ansatz</t>
  </si>
  <si>
    <t>Pfeil, Ulrich</t>
  </si>
  <si>
    <t>Der Weg in Die Terreur : Radikalisierung und Konflikte Im Straßburger Jakobinerclub (1790-1795)</t>
  </si>
  <si>
    <t>Schönpflug, Daniel</t>
  </si>
  <si>
    <t>Kultfigur und Nation : Öffentliche Denkmäler in Paris, Berlin und London 1848-1914</t>
  </si>
  <si>
    <t>Rausch, Helke</t>
  </si>
  <si>
    <t>Deutsche Kulturpolitik Im Besetzten Paris 1940-1944: Film und Theater : Film und Theater</t>
  </si>
  <si>
    <t>Engel, Kathrin</t>
  </si>
  <si>
    <t>Figurationen des Staates in Deutschland und Frankreich 1870-1945. les Figures de l'État en Allemagne et en France</t>
  </si>
  <si>
    <t>Chatriot, Alain</t>
  </si>
  <si>
    <t>André François-Poncet Als Botschafter in Berlin (1931-1938)</t>
  </si>
  <si>
    <t>Schäfer, Claus W.</t>
  </si>
  <si>
    <t>Étrennes : Untersuchungen Zum Höfischen Geschenkverkehr Im Spätmittelalterlichen Frankreich Zur Zeit König Karls VI. (1380-1422)</t>
  </si>
  <si>
    <t>Hirschbiegel, Jan</t>
  </si>
  <si>
    <t>Jewish Religion after Theology</t>
  </si>
  <si>
    <t>Academic Studies Press</t>
  </si>
  <si>
    <t>Sagi, Avi</t>
  </si>
  <si>
    <t>In Quest of Tolstoy</t>
  </si>
  <si>
    <t>McLean, Hugh</t>
  </si>
  <si>
    <t>The Marsh of Gold : Pasternak's Writings on Inspiration and Creation</t>
  </si>
  <si>
    <t>Pasternak, Boris</t>
  </si>
  <si>
    <t>A Reader's Guide to Nabokov's 'Lolita'</t>
  </si>
  <si>
    <t>Connolly, Julian</t>
  </si>
  <si>
    <t>Early Modern Russian Letters : Texts and Contexts</t>
  </si>
  <si>
    <t>Levitt, Marcus</t>
  </si>
  <si>
    <t>Language and Culture in Eighteenth-Century Russia : Studies in Slavic and Russian Literatures, Cultures and History</t>
  </si>
  <si>
    <t>Zhivov, Victor</t>
  </si>
  <si>
    <t>Ivan Konevskoi : Wise Child of Russian Symbolism</t>
  </si>
  <si>
    <t>Grossman, Joan Delaney</t>
  </si>
  <si>
    <t>Exotic Moscow under Western Eyes</t>
  </si>
  <si>
    <t>Masing-Delic, Irene</t>
  </si>
  <si>
    <t>The Superstitious Muse : Thinking Russian Literature Mythopoetically</t>
  </si>
  <si>
    <t>Bethea, David</t>
  </si>
  <si>
    <t>A Companion to Andrei Platonov's the Foundation Pit</t>
  </si>
  <si>
    <t>Seifrid, Thomas</t>
  </si>
  <si>
    <t>Exemplary Bodies : Constructing the Jew in Russian Culture, 1880s To 2008</t>
  </si>
  <si>
    <t>Mondry, Henrietta</t>
  </si>
  <si>
    <t>The Goalkeeper : The Nabokov Almanac</t>
  </si>
  <si>
    <t>Leving, Yuri</t>
  </si>
  <si>
    <t>A Labyrinth of Linkages in Tolstoy's Anna Karenina : Studies In Russian and Slavic Literatures, Cultures and History</t>
  </si>
  <si>
    <t>Browning, Gary L.</t>
  </si>
  <si>
    <t>Holy Russia, Sacred Israel : Jewish-Christian Encounters in Russian Religious Thought</t>
  </si>
  <si>
    <t>Rubin, Dominic</t>
  </si>
  <si>
    <t>All the Same the Words Don't Go Away : Essays on Authors, Heroes, Aesthetics, and Stage Adaptations from the Russian Tradition</t>
  </si>
  <si>
    <t>Emerson, Caryl</t>
  </si>
  <si>
    <t>Vladimir Soloviev and the Spiritualization of Matter</t>
  </si>
  <si>
    <t>Smith, Oliver</t>
  </si>
  <si>
    <t>Dreams of Nationhood : American Jewish Communists and the Soviet Birobidzhan Project, 1924-1951</t>
  </si>
  <si>
    <t>Srebrnik, Henry Felix</t>
  </si>
  <si>
    <t>A Coat of Many Colors : Dress Culture in the Young State of Israel</t>
  </si>
  <si>
    <t>Helman, Anat</t>
  </si>
  <si>
    <t>Epic and the Russian Novel from Gogol to Pasternak</t>
  </si>
  <si>
    <t>Griffiths, Frederick T.</t>
  </si>
  <si>
    <t>Life in Transit : Jews in Postwar Lodz, 1945-1950</t>
  </si>
  <si>
    <t>Redlich, Shimon</t>
  </si>
  <si>
    <t>Charms of the Cynical Reason : Tricksters in Soviet and Post-Soviet Culture</t>
  </si>
  <si>
    <t>Lipovetsky, Mark</t>
  </si>
  <si>
    <t>Cultures in Collision and Conversation : Essays in the Intellectual History of the Jews</t>
  </si>
  <si>
    <t>Berger, David</t>
  </si>
  <si>
    <t>Keys to the Gift : A Guide to Vladimir Nabokov's Novel</t>
  </si>
  <si>
    <t>Creating the Empress : Politics and Poetry in the Age of Catherine II</t>
  </si>
  <si>
    <t>Proskurina, Vera</t>
  </si>
  <si>
    <t>The Müselmann at the Water Cooler</t>
  </si>
  <si>
    <t>Pfefferkorn, Eli</t>
  </si>
  <si>
    <t>Alfred Dreyfus : Man, Milieu, Mentality and Midrash</t>
  </si>
  <si>
    <t>Simms, Norman</t>
  </si>
  <si>
    <t>Sex Rewarded, Sex Punished : A Study of the Status 'Female Slave' in Early Jewish Law</t>
  </si>
  <si>
    <t>Kriger, Diane</t>
  </si>
  <si>
    <t>Jacob's Ladder : Kabbalistic Allegory in Russian Literature</t>
  </si>
  <si>
    <t>Aptekman, Marina</t>
  </si>
  <si>
    <t>Strangers in a Strange Land : Occidentalist Publics and Orientalist Geographies in Nineteenth-Century Georgian Imaginaries</t>
  </si>
  <si>
    <t>Manning, Paul</t>
  </si>
  <si>
    <t>Babel' in Context : A Study in Cultural Identity</t>
  </si>
  <si>
    <t>Sicher, Efraim</t>
  </si>
  <si>
    <t>Chapaev and His Comrades : War and the Russian Literary Hero Across the Twentieth Century</t>
  </si>
  <si>
    <t>Brintlinger, Angela</t>
  </si>
  <si>
    <t>Tsar and God and Other Essays in Russian Cultural Semiotics</t>
  </si>
  <si>
    <t>Close Encounters : Essays on Russian Literature</t>
  </si>
  <si>
    <t>Jackson, Robert Louis</t>
  </si>
  <si>
    <t>Shapes of Apocalypse : Arts and Philosophy in Slavic Thought</t>
  </si>
  <si>
    <t>Oppo, Andrea</t>
  </si>
  <si>
    <t>Turn It and Turn It Again : Studies in the Teaching and Learning of Classical Jewish Texts</t>
  </si>
  <si>
    <t>Levisohn, Jon A.</t>
  </si>
  <si>
    <t>Russians Abroad : Literary and Cultural Politics of Diaspora (1919-1939)</t>
  </si>
  <si>
    <t>Slobin, Greta</t>
  </si>
  <si>
    <t>The Invention of Mikhail Lomonosov : A Russian National Myth</t>
  </si>
  <si>
    <t>Usitalo, Steven</t>
  </si>
  <si>
    <t>Freedom from Violence and Lies : Essays on Russian Poetry and Music by Simon Karlinsky</t>
  </si>
  <si>
    <t>Hughes, Robert P.</t>
  </si>
  <si>
    <t>New Perspectives in Theology of Judaism</t>
  </si>
  <si>
    <t>Spero, Shubert</t>
  </si>
  <si>
    <t>Prosaics and Other Provocations : Empathy, Open Time, and the Novel</t>
  </si>
  <si>
    <t>Morson, Gary Saul</t>
  </si>
  <si>
    <t>The Englishman from Lebedian : A Life of Evgeny Zamiatin</t>
  </si>
  <si>
    <t>Curtis, J. A. E.</t>
  </si>
  <si>
    <t>Russian Idea--Jewish Presence : Essays on Russian-Jewish Intellectual Life</t>
  </si>
  <si>
    <t>Horowitz, Brian</t>
  </si>
  <si>
    <t>Russian Monarchy : Representation and Rule</t>
  </si>
  <si>
    <t>Wortman, Richard</t>
  </si>
  <si>
    <t>Landmarks Revisited : The Vekhi Symposium One Hundred Years On</t>
  </si>
  <si>
    <t>Aizlewood, Robin</t>
  </si>
  <si>
    <t>Mo(ve)ments of Resistance : Politics, Economy and Society in Israel/Palestine, 1931-2013</t>
  </si>
  <si>
    <t>Grinberg, Lev Luis</t>
  </si>
  <si>
    <t>Crafting the 613 Commandments : Maimonides on the Enumeration, Classification, and Formulation of the Spiritual Commandments</t>
  </si>
  <si>
    <t>Friedberg, Albert D.</t>
  </si>
  <si>
    <t>Belomor : Criminality and Creativity in Stalin's Gulag</t>
  </si>
  <si>
    <t>Draskoczy, Julie S.</t>
  </si>
  <si>
    <t>Carnival in Tel Aviv : Purim and the Celebration of Urban Zionism</t>
  </si>
  <si>
    <t>Shoham, Hizky</t>
  </si>
  <si>
    <t>Visual Texts, Ceremonial Texts, Texts of Exploration : Collected Articles on the Representation of Russian Monarchy</t>
  </si>
  <si>
    <t>Soviet Jews in World War II : Fighting, Witnessing, Remembering</t>
  </si>
  <si>
    <t>Murav, Harriet</t>
  </si>
  <si>
    <t>Italian Jewry in the Early Modern Era : Essays in Intellectual History</t>
  </si>
  <si>
    <t>Guetta, Alessandro</t>
  </si>
  <si>
    <t>By Fables Alone : Literature and State Ideology in Late-Eighteenth - Early-Nineteenth-Century Russia</t>
  </si>
  <si>
    <t>Zorin, Andrei</t>
  </si>
  <si>
    <t>The Witching Hour and Other Plays by Nina Sadur</t>
  </si>
  <si>
    <t>Sadur, Nina</t>
  </si>
  <si>
    <t>The Codification of Jewish Law and an Introduction to the Jurisprudence of the Mishna Berura</t>
  </si>
  <si>
    <t>Broyde, Michael J.</t>
  </si>
  <si>
    <t>Poetry and Psychiatry : Essays on Early Twentieth-Century Russian Symbolist Culture</t>
  </si>
  <si>
    <t>Ljunggren, Magnus</t>
  </si>
  <si>
    <t>Detection of Pathogens in Water Using Micro and Nano-Technology</t>
  </si>
  <si>
    <t>IWA Publishing</t>
  </si>
  <si>
    <t>Zuccheri, Giampaolo</t>
  </si>
  <si>
    <t>Environmental Technologies to Treat Sulfur Pollution</t>
  </si>
  <si>
    <t>Lens, Piet</t>
  </si>
  <si>
    <t>Computational Hydraulics</t>
  </si>
  <si>
    <t>Popescu, Ioana</t>
  </si>
  <si>
    <t>Benchmarking of Control Strategies for Wastewater Treatment Plants</t>
  </si>
  <si>
    <t>Gernaey, Krist V.</t>
  </si>
  <si>
    <t>Applications of Activated Sludge Models</t>
  </si>
  <si>
    <t>Stalinism Revisited : The Establishment of Communist Regimes in East-Central Europe</t>
  </si>
  <si>
    <t>Central European University Press</t>
  </si>
  <si>
    <t>Tismaneanu, Vladimir</t>
  </si>
  <si>
    <t>Evaluating Intercultural Learning : Developing Key Skills Through the International Dukenet Markstrat Programme</t>
  </si>
  <si>
    <t>kassel university press GmbH</t>
  </si>
  <si>
    <t>Kniel, Sarah</t>
  </si>
  <si>
    <t>Forage Production in Panicum Grass-legumes Intercropping by Combining Geometrical Configuration, Inoculation and Fertilizer Under Rainfed Conditions</t>
  </si>
  <si>
    <t>Arshad Ullah, Muhammad</t>
  </si>
  <si>
    <t>Role of Grids for Electricity and Water Supply with Decreasing Costs for Photovoltaics</t>
  </si>
  <si>
    <t>Bhandari, Ramchandra</t>
  </si>
  <si>
    <t>Remittance-led Development : Rebuilding Old Dependencies or a Powerful Source of Human Development? A View on Latin America</t>
  </si>
  <si>
    <t>Helmke, Jörg</t>
  </si>
  <si>
    <t>Availability, Transfer and Balances of Heavy Metals in Urban Agriculture of West Africa</t>
  </si>
  <si>
    <t>Abdu, Nafiu</t>
  </si>
  <si>
    <t>Influence Of Modelling Accuracy On The Determination Of Wind Power Capacity Effects And Balancing Needs</t>
  </si>
  <si>
    <t>Ensslin, Cornel</t>
  </si>
  <si>
    <t>Way To Competitiveness Of PV : An Experience Curve And Break-Even Analysis</t>
  </si>
  <si>
    <t>Staffhorst, Martin</t>
  </si>
  <si>
    <t>Large-scale Integration of Wind Power in the Russian Power Supply : Analysis, Issues, Strategy</t>
  </si>
  <si>
    <t>Badelin, Alexander</t>
  </si>
  <si>
    <t>Energiemanagement in der Niederspannungsversorgung mittels dezentraler Entscheidung - Konzept, Algorithmen, Kommunikation und Simulation -</t>
  </si>
  <si>
    <t>Nestle, David</t>
  </si>
  <si>
    <t>Impact Of International Migration And Remittances On Agricultural Production Patterns, Labor Relationships And Entrepreneurship. The Case Of Rural Ecuador</t>
  </si>
  <si>
    <t>Vasco, Cristian</t>
  </si>
  <si>
    <t>Bioenergy and Renewable Power Methane in Integrated 100% Renewable Energy Systems : Limiting Global Warming by Transforming Energy Systems</t>
  </si>
  <si>
    <t>Sterner, Michael</t>
  </si>
  <si>
    <t>Economic Development And Highly Skilled Returnees : The Impact Of Human Capital Circular Migration On The Economy Of Origin Countries : The Case Of Jordan</t>
  </si>
  <si>
    <t>Istaiteyeh, Rasha</t>
  </si>
  <si>
    <t>Development and Modelling of a Thermophotovoltaic System</t>
  </si>
  <si>
    <t>Mattarolo, Giovanni</t>
  </si>
  <si>
    <t>Betrieb eines übergeordneten dezentral entscheidenden Energiemanagements im elektrischen Verteilnetz</t>
  </si>
  <si>
    <t>Ringelstein, Jan</t>
  </si>
  <si>
    <t>Netzschutz für elektrische Energieversorgungssysteme mit hohem Anteil dezentraler Stromerzeugungsanlagen</t>
  </si>
  <si>
    <t>Shustov, Andrey</t>
  </si>
  <si>
    <t>Optimum Utilization of Renewable Energy for Electrification of Small Islands in Developing Countries</t>
  </si>
  <si>
    <t>Mitra, Indradip</t>
  </si>
  <si>
    <t>Nanomaterialien im Bauwesen : Stand der Technik, Herstellung, Anwendung und Zukunftsperspektiven</t>
  </si>
  <si>
    <t>Stephan, Dietmar</t>
  </si>
  <si>
    <t>Ultra-Hochfester Beton - Planung und Bau der ersten Brücke mit UHPC in Europa : Tagungsbeiträge zu den 3 : Kasseler Baustoff- und Massivbautagen</t>
  </si>
  <si>
    <t>Einfluss der Verdichtung von Kalk-Sand-Rohmassen auf die Scherbenrohdichte von Kalksandsteinen</t>
  </si>
  <si>
    <t>Eden, Wolfgang</t>
  </si>
  <si>
    <t>Effectiveness of the methods for engineering courses in a large non-homogenous class setting : With regards to the specific disciplines - Computer Science and Mechatronics in learning Embedded System</t>
  </si>
  <si>
    <t>Sim, Tze Ying</t>
  </si>
  <si>
    <t>Ultra High Performance Concrete (UHPC) : Proceedings of the Second International Symposium on Ultra High Performance Concrete Kassel, Germany</t>
  </si>
  <si>
    <t>Fehling, Ekkehard</t>
  </si>
  <si>
    <t>Modellierung von ultrahochfestem Beton (UHPC) unter Impaktbelastung : Auslegung eines Hochhauskerns gegen Flugzeuganprall</t>
  </si>
  <si>
    <t>Nöldgen, Markus</t>
  </si>
  <si>
    <t>Persönliche Gottesvorstellungen junger Erwachsener : Empirische Erkundungen in der Sekundarstufe II im Großraum Kassel</t>
  </si>
  <si>
    <t>Möller, Karina</t>
  </si>
  <si>
    <t>Proceeding of the Mini Workshop Southeast Asia Germany Alumni Network (SEAG) : Empowering of Society through the Animal Health and Production Activities with the appreciation to the Indigenous Knowledge May 3rd - 5, 2007 Manado, Indonesia</t>
  </si>
  <si>
    <t>Priosoeryanto, Bambang Pontjo</t>
  </si>
  <si>
    <t>Adoption in der DDR : Biographische Fallrekonstruktionen und Adoptionsvermittlung in Deutschland</t>
  </si>
  <si>
    <t>Janitzki, Michael</t>
  </si>
  <si>
    <t>Proceeding of the Mini Workshop Southeast Asia Germany Alumni Network : Development of animal health and production for improving the sustainability of livestock farming in the integrated agriculture systems (SEAG) April 25-26th, 2005 Bogor, Indonesia</t>
  </si>
  <si>
    <t>Die Religionsstunde aus der Sicht einzelner Schüler/innen : Empirische Untersuchungen aus der, Sektion II</t>
  </si>
  <si>
    <t>Reiß, Annike</t>
  </si>
  <si>
    <t>… Lehrer sein dagegen sehr! Biographische Strukturierung von Lehrern im Spannungsfeld : Berufswahl – Berufsausübung – Depression</t>
  </si>
  <si>
    <t>Bettzieche, Peter</t>
  </si>
  <si>
    <t>Sylvia van Ommen : Lakritzbonbons : Jenseitsvorstellungen von Kindern ins Gespräch bringen : Perspektiven für den Religionsunterricht in der Grundschule</t>
  </si>
  <si>
    <t>Wicke, Michaela</t>
  </si>
  <si>
    <t>AchtklässlerInnen entdecken einen Zugang zu Wundererzählungen : „Theologische Gespräche mit Jugendlichen“ des Sommersemesters 2008</t>
  </si>
  <si>
    <t>Burhardt, Katharina</t>
  </si>
  <si>
    <t>Philosophisch und theologisch denken</t>
  </si>
  <si>
    <t>Klutz, Philipp</t>
  </si>
  <si>
    <t>Stigmatisierung bei Anorexia nervosa : Proceedings</t>
  </si>
  <si>
    <t>Ernst, Jean-Philippe</t>
  </si>
  <si>
    <t>Development - Organization - Interculturalism : Essays in Honor of Prof. Dr. Michael Fremerey</t>
  </si>
  <si>
    <t>Engel, Constanze</t>
  </si>
  <si>
    <t>Developing a Social Network Analysis and Visualization Module for Repast Models</t>
  </si>
  <si>
    <t>Holzhauer, Sascha</t>
  </si>
  <si>
    <t>High Resolution 3D Nanoimprint Technology : Template Fabrication, Application in Fabry-Pérot-filter-based Nanospectrometers</t>
  </si>
  <si>
    <t>Wang, Xiaolin</t>
  </si>
  <si>
    <t>Filter Bank Based Reconfigurable Receiver Architecture for Universal Wireless Communications</t>
  </si>
  <si>
    <t>Ju, Ziyang</t>
  </si>
  <si>
    <t>State Estimation, Planning, and Behavior Selection Under Uncertainty for Autonomous Robotic Exploration in Dynamic Environments</t>
  </si>
  <si>
    <t>Lidoris, Georgios</t>
  </si>
  <si>
    <t>Power Reserve Provision with Wind Farms : Grid Integration of Wind Power</t>
  </si>
  <si>
    <t>Gesino, Alejandro J.</t>
  </si>
  <si>
    <t>Analyse oberflächennaher Eigenspannungszustände mittels komplementärer Beugungsverfahren</t>
  </si>
  <si>
    <t>Manns, Thorsten</t>
  </si>
  <si>
    <t>Wechselrichtersysteme mit Stromzwischenkreis zur Netzanbindung von Photovoltaik-Generatoren</t>
  </si>
  <si>
    <t>Sahan, Benjamin</t>
  </si>
  <si>
    <t>El español hablado por los afrocostarricenses : Estudio lingüístico y sociolingüístico?</t>
  </si>
  <si>
    <t>Zimmer, Tanja</t>
  </si>
  <si>
    <t>Genetic Structure in European Populations of the Earthworm Lumbricus terrestris</t>
  </si>
  <si>
    <t>Richter, Klaus</t>
  </si>
  <si>
    <t>Hardware-in-the-Loop gestützte Entwicklungsplattform für Fahrerassistenzsysteme</t>
  </si>
  <si>
    <t>Schmidt, Christian</t>
  </si>
  <si>
    <t>Equity in Access to Health Promotion, Treatment and Care for all European Women</t>
  </si>
  <si>
    <t>Lasch, Vera</t>
  </si>
  <si>
    <t>Algorithmic Approach to Service and Content Deployment Decision Making</t>
  </si>
  <si>
    <t>Kusber, Rico</t>
  </si>
  <si>
    <t>Optimization of In-line Defect Detection by Eddy Current Techniques</t>
  </si>
  <si>
    <t>Rahman, Mehbub-Ur</t>
  </si>
  <si>
    <t>Reliable RF Power Amplifier Design Based on a Partitioning Design Approach</t>
  </si>
  <si>
    <t>Ma, Rui</t>
  </si>
  <si>
    <t>Unanticipated Dynamic Adaptation of Mobile Applications</t>
  </si>
  <si>
    <t>Mohammad Ullah Khan</t>
  </si>
  <si>
    <t>Domestic Workers Count : Global Data on an Often Invisible Sector</t>
  </si>
  <si>
    <t>Schwenken, Helen</t>
  </si>
  <si>
    <t>Methode zur Evaluation leistungselektronischer Schaltungstopologien für die Anwendung in dezentralen Netzeinspeisern kleiner Leistung</t>
  </si>
  <si>
    <t>Bülo, Torsten</t>
  </si>
  <si>
    <t>Traditionelle Völker und Gemeinschaften in Brasilien</t>
  </si>
  <si>
    <t>Gawora, Dieter</t>
  </si>
  <si>
    <t>Solidarische Netze und solidarische Ketten : Komplexe solidarische Wirtschaftsunternehmen</t>
  </si>
  <si>
    <t>Müller-Plantenberg, Clarita</t>
  </si>
  <si>
    <t>Gesellschaftliche Bündnisse zur Gewinnung des Naturbezuges : 20 Jahre Klima-Bündnis</t>
  </si>
  <si>
    <t>Feldt, Heidi</t>
  </si>
  <si>
    <t>Citizen Participation in Urban Planning and Management : The Case of Iran, Shiraz City, Saadi Community</t>
  </si>
  <si>
    <t>Mohammadi, Hamid</t>
  </si>
  <si>
    <t>Evaluation of the Growth of Date Palm Seedlings Irrigated with Saline Water in Sultanat of Oman</t>
  </si>
  <si>
    <t>Al-Rasbi, Salim bin Abdullah bin Rashid</t>
  </si>
  <si>
    <t>Modeling the Impacts of Land-Use Change on Ecosystems at the Regional and Continental Scale</t>
  </si>
  <si>
    <t>Koch, Jennifer</t>
  </si>
  <si>
    <t>Analyse und Beurteilung gekoppelter thermisch-mechanischer Prozesse zur Randschichtverfestigung</t>
  </si>
  <si>
    <t>Cherif, Anis</t>
  </si>
  <si>
    <t>Rechtliche Rahmenbedingungen der unkonventionellen Erdgasförderung mittels Fracking</t>
  </si>
  <si>
    <t>Roßnagel, Alexander</t>
  </si>
  <si>
    <t>Wissenskulturen. Bedingungen wissenschaftlicher Innovation</t>
  </si>
  <si>
    <t>Müller, Harald</t>
  </si>
  <si>
    <t>Die Professionalisierung Studierender durch Reflexionsgespräche. Aufgezeigt am Beispiel der Forschungswerkstatt „Theologische Gespräche mit Jugendlichen“</t>
  </si>
  <si>
    <t>Schmidl, Sarah-Maria</t>
  </si>
  <si>
    <t>Teaching Right Livelihood. Eine Handreichung für Lehrkräfte und Lehrerbildner. Mit englischsprachigen Unterrichtsmaterialien</t>
  </si>
  <si>
    <t>Christoforatou, Ellen</t>
  </si>
  <si>
    <t>Naturlyrik im Zeichen der ökologischen Krise. Begrifflichkeiten - Rezeption - Kontexte</t>
  </si>
  <si>
    <t>Kopisch, Wendy A.</t>
  </si>
  <si>
    <t>Sicherheitsmaßnahmen an Flughäfen im Lichte der Grundrechte</t>
  </si>
  <si>
    <t>Kroschwald, Steffen</t>
  </si>
  <si>
    <t>New Style Workfare - Zur Nachhaltigkeit arbeitsmarktpolitischer Instrumente und die Folgen für die Betroffenen</t>
  </si>
  <si>
    <t>Engelberty, Klaus</t>
  </si>
  <si>
    <t>Realität verstehen. Warum wir ein kognitives Design brauchen</t>
  </si>
  <si>
    <t>van den Boom, Holger</t>
  </si>
  <si>
    <t>Das Hochschulstudium nach Bologna. Zwischen Strukturreform und didaktischer Neuausrichtung</t>
  </si>
  <si>
    <t>Zinger, Benjamin</t>
  </si>
  <si>
    <t>Callcenter aus der Perspektive des Datenschutzes. Rechtlicher Rahmen und Gestaltungsvorschläge für ein automatisiertes Gesprächsmanagement-System</t>
  </si>
  <si>
    <t>Hoss, Dennis</t>
  </si>
  <si>
    <t>Wirksamkeit der Nutzung von E-Vergabe im Beschaffungsmanagement der öffentlichen Verwaltung</t>
  </si>
  <si>
    <t>Laux, Dieter</t>
  </si>
  <si>
    <t>Optimierungsanalysen und -ansätze des Planungs- und Schnittstellenmanagements vor Baubeginn im Vergleich zur baubegleitenden Planung</t>
  </si>
  <si>
    <t>Schölzel, Stefan</t>
  </si>
  <si>
    <t>Smarte Produktkennzeichnung von Elektro- und Elektronikgeräten mittels RFID für ein gezieltes Stoffstrom- und Informationsmanagement. Nutzenpotenziale für und Implementierung in die Entsorgungswirtschaft</t>
  </si>
  <si>
    <t>Löhle, Stephan</t>
  </si>
  <si>
    <t>Das Unaussprechliche in Worte fassen. Eine vergleichende Analyse schriftlicher und mündlicher Selbstzeugnisse von weiblichen Überlebenden des Holocaust</t>
  </si>
  <si>
    <t>Leonhard, Claudia</t>
  </si>
  <si>
    <t>Organisationsentwicklungsprozess in einem deutsch-chinesischen Joint Venture in Wuxi</t>
  </si>
  <si>
    <t>Özdemir, Hüseyin</t>
  </si>
  <si>
    <t>Beziehungsweise. Modelle familialer Beziehungen im epischen Werk Friedrich Spielhagens</t>
  </si>
  <si>
    <t>Ullrich, Kai Christina</t>
  </si>
  <si>
    <t>Visionen im Kontext von Beruf und Berufung</t>
  </si>
  <si>
    <t>Bläsing, Sabine</t>
  </si>
  <si>
    <t>Cloud Computing. Technik, Sicherheit und rechtliche Gestaltung</t>
  </si>
  <si>
    <t>Bedner, Mark</t>
  </si>
  <si>
    <t>Leistungsoptimale Regelung von Hochstromverbrauchern im Fahrwerk</t>
  </si>
  <si>
    <t>Hochrein, Paul</t>
  </si>
  <si>
    <t>Erstellung eines intelligenten Steuerungssystems für die integrierte, dezentrale Energiebereitstellung zur Erhöhung der Energieeffizienz</t>
  </si>
  <si>
    <t>Esser, Marco</t>
  </si>
  <si>
    <t>Untersuchungen zum Transfer der australischen Projektabwicklungsform Project Alliancing auf den deutschen Hochbaumarkt</t>
  </si>
  <si>
    <t>Schlabach, Carina</t>
  </si>
  <si>
    <t>Modellbildung und numerische Mechanik tensegrer Strukturen</t>
  </si>
  <si>
    <t>Carstens, Sönke</t>
  </si>
  <si>
    <t>Photon induced inner-shell excitation processes of nitrous oxide probed by angle resolved fluorescence and Auger-Electron spectrometry</t>
  </si>
  <si>
    <t>Knie, André</t>
  </si>
  <si>
    <t>Plug-in electric vehicles integrating fluctuating renewable electricity</t>
  </si>
  <si>
    <t>Dallinger, David</t>
  </si>
  <si>
    <t>On the Perspectives of Wide-Band Gap Power Devices in Electronic-Based Power Conversion for Renewable Systems</t>
  </si>
  <si>
    <t>Araújo, Samuel Vasconcelos</t>
  </si>
  <si>
    <t>Long-Range Ultra-Wideband Radar Sensor for Industrial Applications</t>
  </si>
  <si>
    <t>Ameri, Ahmed Abbas Hussein</t>
  </si>
  <si>
    <t>Gott im Coaching? Zur Annäherung von religiöser Seelsorge und säkularer BeratungEine Bestandsaufnahme</t>
  </si>
  <si>
    <t>Fiedler, Adelheid</t>
  </si>
  <si>
    <t>Diskriminierungsschutz durch Kontrahierungszwang. Vertragsabschlusspflicht aus § 21 AGG im System der Kontrahierungspflichten</t>
  </si>
  <si>
    <t>Sprafke, Susanne</t>
  </si>
  <si>
    <t>Arbeitsfähigkeit von Feuerwehreinsatzkräften - nur eine Frage des Alters?</t>
  </si>
  <si>
    <t>Bilhuber, Henning</t>
  </si>
  <si>
    <t>Studentische Hochschulpolitik für die Universität Kassel. 40 Jahre zwischen Bildungsprotest und Verteidigung der politischen Selbstverwaltung</t>
  </si>
  <si>
    <t>Lotto, Miriam</t>
  </si>
  <si>
    <t>Determinanten erfolgreicher Stakeholderdialoge. Erfolgsfaktoren von Dialogverfahren zwischen Unternehmen und Nichtregierungsorganisationen</t>
  </si>
  <si>
    <t>Riede, Milena</t>
  </si>
  <si>
    <t>Komplexitätsmangement bei der Baupreisermittlung im Schlüsselfertigbau</t>
  </si>
  <si>
    <t>Schleicher, Melanie</t>
  </si>
  <si>
    <t>Ein diskontinuierliches Galerkin-Verfahren hoher Ordnung auf Dreiecksgittern mit modaler Filterung zur Lösung hyperbolischer Erhaltungsgleichungen</t>
  </si>
  <si>
    <t>Ortleb, Sigrun</t>
  </si>
  <si>
    <t>Towards a User-Centric Context Aware System : Empowering Users Through Activity Recognition Using a Smartphone as an Unobtrusive Device</t>
  </si>
  <si>
    <t>Lau, Sian Lun</t>
  </si>
  <si>
    <t>Russische Bildungseinrichtungen auf dem Weg zur Kundenorientiertheit am Beispiel einer empirischen Studie an der Graduate School of Business Administration an der Staatlichen Lomonosov-Universität Moskau (GSBA MGU)</t>
  </si>
  <si>
    <t>Klotchkov, Kathleen</t>
  </si>
  <si>
    <t>Internes Rating als Monitoringtool des Finanzwesens am Beispiel der B. Braun Melsungen AG</t>
  </si>
  <si>
    <t>Pielert, Michael</t>
  </si>
  <si>
    <t>Engineering von der Anforderung bis zum Betrieb</t>
  </si>
  <si>
    <t>Vogel-Heuser, Birgit</t>
  </si>
  <si>
    <t>Die Wirkung von Macht auf Innovationen innerhalb einer öffentlichen Verwaltung</t>
  </si>
  <si>
    <t>Bott, Jutta</t>
  </si>
  <si>
    <t>Ultraschnelle kohärente Kontrolle und Spektroskopie an kolloidalen Halbleiter Nanokristallen und Lanthanid dotierten Calciumfluorid Nanokristallen mit Femtosekunden-Laserpulsen</t>
  </si>
  <si>
    <t>Ruge, Martin</t>
  </si>
  <si>
    <t>Ressourcen und Belastungen in der Berufsbiografie. Eine Studie zum Zusammenhang zwischen berufsbiografischen Arbeitsbedingungen, Gesundheit und Leistungsfähigkeit</t>
  </si>
  <si>
    <t>Weichel, Julia</t>
  </si>
  <si>
    <t>Die Ethik-Kommission an der Medizinischen Fakultät der RWTH Aachen (1981-2005). Voraussetzungen und Entwicklung</t>
  </si>
  <si>
    <t>Cruz Benedetti, Anna-Gabriela</t>
  </si>
  <si>
    <t>Co-Verbrennung von Siedlungsabfällen in Kleinanlagen zur dezentralen Energieversorgung und Abfallentsorgung</t>
  </si>
  <si>
    <t>Schöer, Ramona</t>
  </si>
  <si>
    <t>Ein Beitrag zur Verbesserung der Innovationsqualität. Ein Modell zur Integration von Anforderungs- und Innovationsmanagement im Fahrzeugbau</t>
  </si>
  <si>
    <t>Landgraf, Katja</t>
  </si>
  <si>
    <t>Ablaufbezogenes Dokumentationsverfahren zum Nachweis der adäquaten Kausalität bei Bauablaufstörungen mit Schwerpunkt Haftungsgrund im Leistungsbereich Landschaftsbau</t>
  </si>
  <si>
    <t>Möhring, Felix</t>
  </si>
  <si>
    <t>Facetten des Gotteskonzepts : Kinder einer 4. Klasse schreiben in Briefen über ihre Gottesvorstellungen</t>
  </si>
  <si>
    <t>Pfeil, Carolin</t>
  </si>
  <si>
    <t>Socioeconomic Aspects of Urban and Peri-urban Agriculture : A Diagnostic Study in Khartoum, Sudan</t>
  </si>
  <si>
    <t>Abdalla, Ishtiag Faroug</t>
  </si>
  <si>
    <t>Synergien im internationalen Akquisitionsmanagement - eine kritische Betrachtung externer Wachstumsstrategien</t>
  </si>
  <si>
    <t>Küpper, Carsten</t>
  </si>
  <si>
    <t>Außendienstmitarbeiterunterstützung durch innovative Marketing- und Vertriebsmethoden am Beispiel der Pharmaindustrie Deutschland</t>
  </si>
  <si>
    <t>Otto, Götz</t>
  </si>
  <si>
    <t>Hardware-in-the-Loop-gestützte Entwicklungsplattform für Fahrerassistenzsysteme – Modelle der Umfeldsensorik und angepasste Fahrermodelle</t>
  </si>
  <si>
    <t>Tellmann, Dirk</t>
  </si>
  <si>
    <t>Zum Pfahltragverhalten unter zyklisch axialer Belastung</t>
  </si>
  <si>
    <t>Thomas, Sebastian</t>
  </si>
  <si>
    <t>Die Erforschung der Gehirnbewegungen in medizinhistorischer Sicht</t>
  </si>
  <si>
    <t>Nagel, Thomas T.</t>
  </si>
  <si>
    <t>Zuteilung der CO2-Zertifikate in einem Emissionshandelssystem</t>
  </si>
  <si>
    <t>Gerner, Daria</t>
  </si>
  <si>
    <t>Reisezeitermittlung im motorisierten Individualverkehr mit Hilfe drahtloser Kommunikationstechnologien</t>
  </si>
  <si>
    <t>Leitzke, Christian</t>
  </si>
  <si>
    <t>Zur effizienten Kopplung von Simulationsprogrammen</t>
  </si>
  <si>
    <t>Busch, Martin</t>
  </si>
  <si>
    <t>Ethische Aspekte der Donogenen Insemination</t>
  </si>
  <si>
    <t>Fischer, Tobias H.J.</t>
  </si>
  <si>
    <t>Entwicklung einer differenzierten Preisgleitklausel für Funktionsbauverträge im Straßenbau</t>
  </si>
  <si>
    <t>Altmüller, Patrick</t>
  </si>
  <si>
    <t>GATS als unmittelbar geltendes Recht in der EU und Deutschland mit besonderem Blick auf Bildungsdienstleistungen am Beispiel von E-Learning</t>
  </si>
  <si>
    <t>Tiedtke, Esther</t>
  </si>
  <si>
    <t>Determinants of Farm Income and Agricultural Risk Management Strategies : The Case of Rain-fed Farm Households in Pakistan’s Punjab</t>
  </si>
  <si>
    <t>Qasim, Muhammad</t>
  </si>
  <si>
    <t>Challenges of a Common Climate Policy : An Analysis of the Development of the EU Emissions Trading Scheme</t>
  </si>
  <si>
    <t>Aufenanger, Vanessa</t>
  </si>
  <si>
    <t>Determinants of Labour Migration Decisions : The Case of East Java, Indonesia</t>
  </si>
  <si>
    <t>Syafitri, Wildan</t>
  </si>
  <si>
    <t>Herausforderungen an eine neue Kreislaufwirtschaft</t>
  </si>
  <si>
    <t>Urban, Arnd I.</t>
  </si>
  <si>
    <t>Hausärztliche Krankheitskonzepte in Biographie und Interaktion</t>
  </si>
  <si>
    <t>Wollny, Anja</t>
  </si>
  <si>
    <t>Logistikimmobilien vom Band : Standardisierung im gewerblichen Hochbau am Beispiel von Warehouse-Logistikimmobilien</t>
  </si>
  <si>
    <t>Groenmeyer, Thomas</t>
  </si>
  <si>
    <t>Theodizee – Einbruchstelle des Glaubens bei Jugendlichen?</t>
  </si>
  <si>
    <t>Neruda, Stefanie</t>
  </si>
  <si>
    <t>Resonante Starkfeld-Kontrolle kohärenter elektronischer Dynamik im K-Atom und K2-Molekül</t>
  </si>
  <si>
    <t>Bayer, Tim</t>
  </si>
  <si>
    <t>Über Sprache reflektieren : Unterricht in sprachheterogenen Lerngruppen, Fernstudieneinheit 2</t>
  </si>
  <si>
    <t>Budde, Monika</t>
  </si>
  <si>
    <t>CAD-integrierte Modellierung von agentenbasierten Simulationsmodellen für die Bauablaufsimulation im Hochbau</t>
  </si>
  <si>
    <t>Kugler, Martin</t>
  </si>
  <si>
    <t>Computer Modeling and Investigation on the Steel Corrosion in Cracked Ultra High Performance Concrete</t>
  </si>
  <si>
    <t>Rafiee, Alireza</t>
  </si>
  <si>
    <t>Steigerung der Wandlungs- und Energieeffizienz durch Kopplung von Biomassekonversionsverfahren und modulierend betriebene Biogasproduktion mit dezentraler Energiebereitstellung</t>
  </si>
  <si>
    <t>Bastian, Oliver</t>
  </si>
  <si>
    <t>Konstruktion und Wirtschaftlichkeit von Whitetopping aus Hochleistungsbeton für Fahrbahnen</t>
  </si>
  <si>
    <t>Schmidt, Cornelia</t>
  </si>
  <si>
    <t>Ein gekoppeltes Finite-Elemente / Discontinuous-Galerkin-Verfahren zur Simulation von Strömungs-Transport-Problemen</t>
  </si>
  <si>
    <t>Kopecz, Stefan</t>
  </si>
  <si>
    <t>Mikrostrukturelle Untersuchungen der Rissinitiierung und -ausbreitung in intermetallischen TiAl-Legierungen unter zyklischer und quasistatischer Belastung</t>
  </si>
  <si>
    <t>Wessel, Waldemar</t>
  </si>
  <si>
    <t>Technische Konvergenz im Hybrid-TV und divergenter Rechtsrahmen für Fernsehen und Internet</t>
  </si>
  <si>
    <t>Boos, Carina</t>
  </si>
  <si>
    <t>On the Numerical Solution of Nonlinear and Hybrid Optimal Control Problems</t>
  </si>
  <si>
    <t>Rungger, Matthias</t>
  </si>
  <si>
    <t>Repräsentation Wissen Öffentlichkeit : Bibliotheken zwischen Barock und Aufklärung Bad Arolsen, 30. September bis 1. Oktober 2010</t>
  </si>
  <si>
    <t>Brinker-von der Heyde, Claudia</t>
  </si>
  <si>
    <t>Selektion von Innovationsideen. Eine empirische Untersuchung zu erforderlichen Kompetenzen und Möglichkeiten der Aktivierung</t>
  </si>
  <si>
    <t>Schäfer, Verena</t>
  </si>
  <si>
    <t>Repräsentation - Wissen - Öffentlichkeit. Bibliotheken zwischen Barock und Aufklärung</t>
  </si>
  <si>
    <t>Vergara Gomez, Silke</t>
  </si>
  <si>
    <t>Mensch  - wer bin ich? Ein Altweltprimat am Übergang von Geisteswissenschaften zu Experimentalwissenschaften</t>
  </si>
  <si>
    <t>Ferrari, Reinhold</t>
  </si>
  <si>
    <t>Direct Mail als Kommunikationsmedium im Kulturmarketing. Eine empirische Wirkungsanalyse am Beispiel der documenta 12 unter Berücksichtigung von B2B- und B2C-Zielgruppen</t>
  </si>
  <si>
    <t>Korzen, Eva Janina</t>
  </si>
  <si>
    <t>Die Bedeutung interkultureller Kommunikation in der Wirtschaft : Theoretische und empirische Erforschung von Bedarf und Praxis der interkulturellen Personalentwicklung anhand einiger deutscher Großunternehmen der Automobil- und Zuliefererindustrie</t>
  </si>
  <si>
    <t>Bannenberg, Ann-Kristin</t>
  </si>
  <si>
    <t>Erfolgsfaktoren von Weiterbildungsstudiengängen. - Eine empirische Analyse -</t>
  </si>
  <si>
    <t>Teichert, Olav</t>
  </si>
  <si>
    <t>Mikrohohlkugelgefülltes Silikongel als Isolierstoff in der Hochspannungstechnik</t>
  </si>
  <si>
    <t>Belz, Oliver</t>
  </si>
  <si>
    <t>Erhöhte Verfügbarkeit und transparente Produktion. Tagungsband Automation Symposium 2011</t>
  </si>
  <si>
    <t>Mehrsprachigkeit und fremdsprachlicher Deutschunterricht. Beitrag zur Entwicklung eines Konzepts der Mehrsprachigkeit und der Bildungsreform für Kamerun</t>
  </si>
  <si>
    <t>Bassock, Jacques</t>
  </si>
  <si>
    <t>Border Tax Adjustments : Konfliktpotential zwischen Umweltschutz und Welthandelsrecht?</t>
  </si>
  <si>
    <t>Lebenszyklusorientierte Planung von Erschließungskonzepten in Hochhäusern am Beispiel von Aufzugsanlagen. Entwicklung einer Methode zur Bewertung von Lebenszykluskosten mit Hilfe von Verkehrsberechnungs-Simulationen unter Berücksichtigung der Transportstr</t>
  </si>
  <si>
    <t>Deppenmeier, Jens</t>
  </si>
  <si>
    <t>Evaluierung des Kölner Bürgerhaushalts</t>
  </si>
  <si>
    <t>Taubert, Nils</t>
  </si>
  <si>
    <t>Untersuchungen an Wasserinsekten im Nationalpark Harz (Sachsen-Anhalt) unter besonderer Berücksichtigung von Köcherfliegen (Insecta : Trichoptera). Faunistik, Phänologie, Autökologie, Taxonomie, Bioindikation</t>
  </si>
  <si>
    <t>Hohmann, Mathias</t>
  </si>
  <si>
    <t>Von Bosch zu Beuys. Oder kann die Kunst unser Leben verändern</t>
  </si>
  <si>
    <t>Gizycki, Renate von</t>
  </si>
  <si>
    <t>Die Sozialistische Einheitspartei Westberlins. Untersuchung der Steuerung der SEW durch die SED</t>
  </si>
  <si>
    <t>Mackensen, Reinhard</t>
  </si>
  <si>
    <t>Schritte auf dem Weg zur Solidarischen Ökonomie</t>
  </si>
  <si>
    <t>Verein zur Förderung der Solidarischen Ökonomie</t>
  </si>
  <si>
    <t>Konzeptkompetenz von Psychotherapeutinnen und Psychotherapeuten in Ausbildung</t>
  </si>
  <si>
    <t>Stippler, Maria</t>
  </si>
  <si>
    <t>Ökonomische Relevanz der Kultur- und Kreativwirtschaft in der Region Kassel : Identifizierung und Nutzung regionaler Entwicklungspotenziale</t>
  </si>
  <si>
    <t>Daskalakis</t>
  </si>
  <si>
    <t>Untersuchung von Schulbüchern für den wirtschaftlichen Unterricht an beruflichen Schulen in Shanghai vor dem Hintergrund der Reform der Berufsausbildung in der VR China und der Ausbildung von Wirtschaftspädagogen an der Tongji Universität in Shanghai</t>
  </si>
  <si>
    <t>Shi, Huili</t>
  </si>
  <si>
    <t>Beitrag zur Berechnung der Meridianströmung in Axialverdichtern auf der Basis der umfangsgemittelten Navier-Stokes-Gleichungen unter Berücksichtigung dreidimensionaler Einflüsse</t>
  </si>
  <si>
    <t>Willburger, Ansgar</t>
  </si>
  <si>
    <t>Berthold Simonsohn. Ausgewählte Schriften 1934-1977</t>
  </si>
  <si>
    <t>Aden-Grossmann, Wilma</t>
  </si>
  <si>
    <t>Frühprävention durch Förderung von Mentalisierungsprozessen : Psychoanalytisch verstehen – pädagogisch handeln : Bausteine zur Prävention destruktiver Aggressivität bei Kindern in Kindertagesstätten – orientiert an den Ergebnissen der Frankfurter Präventionsstudie</t>
  </si>
  <si>
    <t>Uhl, Christiane</t>
  </si>
  <si>
    <t>Verkehrsplanung und Landschaft : Tradition und Perspektiven</t>
  </si>
  <si>
    <t>Powerful Learning Environments and Theologizing and Philosophizing with Children</t>
  </si>
  <si>
    <t>Kuindersma, Henk</t>
  </si>
  <si>
    <t>Schulentwicklungsprojekte aus neo-institutionalistischer und mikropolitischer Perspektive : Eine theorieorientierte Modellentwicklung am Beispiel einer Einzelfallstudie</t>
  </si>
  <si>
    <t>Voigt, Miriam</t>
  </si>
  <si>
    <t>Energie und Demokratie</t>
  </si>
  <si>
    <t>Politische Chefärzte? Neue Studien zur Aachener Ärzteschaft im 20 : Jahrhundert</t>
  </si>
  <si>
    <t>Döbber, Carola</t>
  </si>
  <si>
    <t>Device Characterization and Modeling of Large-Size GaN HEMTs</t>
  </si>
  <si>
    <t>Flores, Jaime Alberto Zamudio</t>
  </si>
  <si>
    <t>Informelles Lernen von Lehrerinnen und Lehrern im Kontext Schule und Migration : Eine explorative Studie über Subjektive Theorien von Lehrerinnen und Lehrern</t>
  </si>
  <si>
    <t>Hollick, Danièle</t>
  </si>
  <si>
    <t>Recursive Spatial Multiplexing</t>
  </si>
  <si>
    <t>Edlich, Thomas</t>
  </si>
  <si>
    <t>natürlich bunt : Das politische Spektrum der ökologischen Landwirtschaft. Dokumentationsband der 20. Witzenhäuser Konferenz 04. - 08. Dezember 2012</t>
  </si>
  <si>
    <t>Projektgruppe Natürlich Bunt</t>
  </si>
  <si>
    <t>Community Health Information in Europe</t>
  </si>
  <si>
    <t>Freytag-Leyer, Barbara</t>
  </si>
  <si>
    <t>Wie regulieren Berufsschüler ihren Lernprozess? Eine empirische Untersuchung subjektiver Lernkonzepte und kognitiver Lernstrategien in der Teilzeitform der Berufsschule im Ausbildungsberuf Bürokaufmann/-frau</t>
  </si>
  <si>
    <t>Köller, Charlotte</t>
  </si>
  <si>
    <t>Technisierte Medizin - Dehumanisierte Medizin? Ethische, rechtliche und soziale Aspekte neuer Medizintechnologien</t>
  </si>
  <si>
    <t>On the importance of time synchronization for context aware applications</t>
  </si>
  <si>
    <t>Klein, Bernd Niklas</t>
  </si>
  <si>
    <t>User-Anonymität in Mobile Payment Systemen. Ein Referenzmodell zur Gestaltung der User-Anonymität in Mobile Payment Systemen</t>
  </si>
  <si>
    <t>Kaymaz, Feyyat</t>
  </si>
  <si>
    <t>40 Jahre Universität Kassel. Natur, Technik, Kultur, Gesellschaft</t>
  </si>
  <si>
    <t>Ein Beitrag zur mathematischen Charakterisierung von Photovoltaik-Dünnschichttechnologien auf Basis realer I/U-Kennlinien</t>
  </si>
  <si>
    <t>Glotzbach, Thomas</t>
  </si>
  <si>
    <t>Aktuelle Garteninitiativen. Kleingärten und neue Gärten in deutschen Großstädten</t>
  </si>
  <si>
    <t>Appel, Ilka</t>
  </si>
  <si>
    <t>Performance und Vertrauen in Unternehmenskooperationen. Eine Metaanalyse zu den Bestimmungsfaktoren für den Zusammenhang zwischen Performance und Vertrauen in Unternehmenskooperationen</t>
  </si>
  <si>
    <t>Ulbrich, Mirko C.</t>
  </si>
  <si>
    <t>Strategien und Potenziale zur Verbrauchsreduzierung bei Verkehrsstaus</t>
  </si>
  <si>
    <t>Herzog, Torsten</t>
  </si>
  <si>
    <t>Entwicklung der Kooperation zwischen Studienseminar, Schule und Universität Kassel seit 1971. Eine Zwischenbilanz auf dem festlichen Kooperationsrat am 4. Mai 2011</t>
  </si>
  <si>
    <t>Knüppel, Axel</t>
  </si>
  <si>
    <t>Systemforschung - Politikberatung und öffentliche Aufklärung. Beiträge von und im Umfeld von Helmut Krauch und der Studiengruppe Systemforschung</t>
  </si>
  <si>
    <t>Coenen, Reinhard</t>
  </si>
  <si>
    <t>Untersuchung von pflanzenwachstumsfördernden Rhizobakterien sowie deren Nutzbarkeit in der Rekultivierung einer Rückstandshalde der Kaliindustrie</t>
  </si>
  <si>
    <t>Koch, Sebastian</t>
  </si>
  <si>
    <t>Biofilter als Bestandteil kombinierter Abluftbehandlungsverfahren in der Abwasserwirtschaft</t>
  </si>
  <si>
    <t>Franke, Wolfram</t>
  </si>
  <si>
    <t>Wirksamkeit von flexiblen stabförmigen Elementen bei Böschungsstabilisierungen</t>
  </si>
  <si>
    <t>Hörtkorn, Florian</t>
  </si>
  <si>
    <t>Speaker Perception and Recognition. An integrative framework for computational speech processing</t>
  </si>
  <si>
    <t>Lapteva, Oxana</t>
  </si>
  <si>
    <t>Avatare in Katastrophensimulationen. Entwicklung eines Katastrophen-Trainings-Systems zur  Darstellung von Beteiligten in Großschadenslagen</t>
  </si>
  <si>
    <t>Siemon, Andreas</t>
  </si>
  <si>
    <t>Produktverantwortung nach dem Elektrogesetz und der Altfahrzeugverordnung. Wirkungen auf eine innovative Produktgestaltung</t>
  </si>
  <si>
    <t>Gattermann, Jana</t>
  </si>
  <si>
    <t>Verkehrsdatenerfassung mittels Floating Car Observer auf zweistreifigen Landstraßen</t>
  </si>
  <si>
    <t>Kühnel, Carsten</t>
  </si>
  <si>
    <t>Erkennen - Bewerten - (Fair-)Handeln. Kompetenzerwerb im globalen Wandel</t>
  </si>
  <si>
    <t>Gritschke, Hannah</t>
  </si>
  <si>
    <t>Studium der Elektron-Phonon-Kopplung in nanostrukturierten Adsorbatsystemen mittels winkelaufgelöster Photoelektronenspektroskopie</t>
  </si>
  <si>
    <t>Bumiller, Christian</t>
  </si>
  <si>
    <t>Der Bauschingereffekt bei vergüteten, bainitischen und normalisierten Zuständen der Stähle 42CrMoS4 und 100Cr6</t>
  </si>
  <si>
    <t>Ellermann, Arne</t>
  </si>
  <si>
    <t>Optimierung von Instandhaltungsstrategien bei unscharfen Eingangsdaten</t>
  </si>
  <si>
    <t>Aha, Ulrich</t>
  </si>
  <si>
    <t>Kompetenzorientierter Religionsunterricht : Planung, Durchführung und Auswertung eines Unterrichtsprojekts zum Thema Sterben, Tod und Auferstehung (Jahrgangsstufe 9)</t>
  </si>
  <si>
    <t>Syrnik, Johanna</t>
  </si>
  <si>
    <t>Identität und Öffentlicher Raum : Soziale Beziehungen und Raumstrukturen : Eine Interdisziplinäre Forschungswerkstatt</t>
  </si>
  <si>
    <t>Bereswill, Mechthild</t>
  </si>
  <si>
    <t>Activation of the Insect Immune System by Endogenous Danger Signals with Emphasis on Drosophila melanogaster</t>
  </si>
  <si>
    <t>Hauling, Thomas</t>
  </si>
  <si>
    <t>Konzeptionelle Grundlagen eines marktorientierten strategischen Krankenhauscontrollings : Eine theoretische und empirische Untersuchung</t>
  </si>
  <si>
    <t>Gary, Alexander</t>
  </si>
  <si>
    <t>Effizienzgewinn durch verschaltbare Photovoltaik Systeme</t>
  </si>
  <si>
    <t>Mielcarek, Paul</t>
  </si>
  <si>
    <t>Recycelfähige Dämmstoffe aus Altpapier für Syrien</t>
  </si>
  <si>
    <t>Dahi, Zakia</t>
  </si>
  <si>
    <t>Diskontinuierliche GALERKIN-Verfahren in Raum und Zeit zur Simulation von Transportprozessen</t>
  </si>
  <si>
    <t>Carstens, Sandra</t>
  </si>
  <si>
    <t>Entwicklung eines Reibmodells für hohe Temperaturen und hohe Umformgrade</t>
  </si>
  <si>
    <t>Horwatitsch, Dieter</t>
  </si>
  <si>
    <t>Ultrasonic Nondestructive Testing of Inhomogeneous Isotropic and Anisotropic Media : Modeling and Imaging</t>
  </si>
  <si>
    <t>Chinta, Prashanth Kumar</t>
  </si>
  <si>
    <t>Development of Brushless Self-excited and Self-regulated Synchronous Generating System for Wind and Hydro Generators</t>
  </si>
  <si>
    <t>Izzat, Likaa Fahmi Ahmed</t>
  </si>
  <si>
    <t>Biological and chemical parameters and life cycle assessment of the integrated generation of solid fuel and biogas from biomass</t>
  </si>
  <si>
    <t>Bühle, Lutz</t>
  </si>
  <si>
    <t>Zur Schädigungsentwicklung bei der Korrosionsermüdung von Aluminiumbasislegierungen mit definierten fertigungsbedingten Randschichtzuständen</t>
  </si>
  <si>
    <t>Timmermann, Klaus</t>
  </si>
  <si>
    <t>Untersuchung der anwendungstechnischen Eigenschaften des Formsprühens von wasserbasierten Trennstoffen in Abhängigkeit der Applikationstechnik für den Leichtmetall-Druckguss</t>
  </si>
  <si>
    <t>Röse, Jens</t>
  </si>
  <si>
    <t>Erkenntnis- und Sinnsuche : Wahrnehmung und Bedeutungsgebung, Wirklichkeiten und Realität : Zur Entstehung von Judentum, Christentum und Islam aus wissenschaftlicher Sicht</t>
  </si>
  <si>
    <t>Eintags- und Steinfliegen (Insecta : Ephemeroptera) in Mittelgebirgsbächen des Harzes : Analyse und Prognose naturnaher Referenzzönosen für die Gewässerbewertung</t>
  </si>
  <si>
    <t>Böhme, Dirk</t>
  </si>
  <si>
    <t>Thermo-mechanisch gekoppelte Experimente zur Beurteilung der Schädigungsentwicklung an Werkzeugen zur Warmumformung</t>
  </si>
  <si>
    <t>Grüning, Alexander</t>
  </si>
  <si>
    <t>Rechtliche Instrumente zur Durchsetzung von Barrierefreiheit</t>
  </si>
  <si>
    <t>Regionale Klimaanpassung : Herausforderungen – Lösungen – Hemmnisse – Umsetzungen am Beispiel Nordhessens</t>
  </si>
  <si>
    <t>Remittances and livelihood strategies : A Case Study in Eastern Nepal</t>
  </si>
  <si>
    <t>Nepal, Ranjita</t>
  </si>
  <si>
    <t>Brand Equity Planning with Structuralist Rhetorical Semiotics</t>
  </si>
  <si>
    <t>Rossolatos, George</t>
  </si>
  <si>
    <t>Investigation of the Self-organising Behaviour of Laser Implanted Tool Surfaces</t>
  </si>
  <si>
    <t>Hilgenberg, Kai</t>
  </si>
  <si>
    <t>Grammatik and Literatur. Eine vergleichende grammatische Analyse literarischer Dualität in Daniel Kehlmanns Die  Vermessung der Welt und Alexa Hennig von Langes Relax</t>
  </si>
  <si>
    <t>George, Kristin</t>
  </si>
  <si>
    <t>Charakterisierung, Beurteilung und Modellierung des Langzeitverhaltens einer elektrochromen Kunststoffverscheibung</t>
  </si>
  <si>
    <t>Desjean, Aline</t>
  </si>
  <si>
    <t>Untersuchung eines Ringgenerators für Windenergieanlagen der 10 MW-Klasse auf Basis statischer Versuchsmodelle und numerischer Simulationen</t>
  </si>
  <si>
    <t>Messoll, Anna K.</t>
  </si>
  <si>
    <t>Rekultivierung von Rückstandshalden der Kaliindustrie -8-, Ergebnisse aus langjährigen wissenschaftlichen Begleituntersuchungen der Begrünungsflächen auf der Kalirückstandshalde Sigmundshall in Bokeloh,</t>
  </si>
  <si>
    <t>Papke, Greta</t>
  </si>
  <si>
    <t>Lernen Organisationen durch Zertifizierung? Organisationales Lernen am Leitbild der Familienfreundlichkeit</t>
  </si>
  <si>
    <t>Neuschäfer, Daniela</t>
  </si>
  <si>
    <t>Anforderungsmuster zur Spezifikation soziotechnischer Systeme. Standardisierte Anforderungen der Vertrauenswürdigkeit und Rechtsverträglichkeit</t>
  </si>
  <si>
    <t>Hoffmann, Axel</t>
  </si>
  <si>
    <t>Forschungen zur Medizingeschichte. Beiträge des Rheinischen Kreises der Medizinhistoriker</t>
  </si>
  <si>
    <t>Karenberg, Axel</t>
  </si>
  <si>
    <t>Älter werden im Quartier : Soziale Nachhaltigkeit durch Selbstorganisation und Teilhabe</t>
  </si>
  <si>
    <t>Alisch, Monika</t>
  </si>
  <si>
    <t>Becoming Urban : State and Migration in Contemporary China</t>
  </si>
  <si>
    <t>Luo, Rumin</t>
  </si>
  <si>
    <t>Nanostrukturierung von Dielektrika mit geformten Femtosekunden-Laserpulsen</t>
  </si>
  <si>
    <t>Englert, Lars</t>
  </si>
  <si>
    <t>Der Didaktische Service Blueprint. Eine Methode für Analyse und Design teilnehmerstarker Lerndienstleistungen</t>
  </si>
  <si>
    <t>Wegener, René</t>
  </si>
  <si>
    <t>Gott ist (k)ein alter weiser Mann! Jugendliche schreiben über ihre Gottesvorstellungen, ihren Glauben, ihre Zweifel</t>
  </si>
  <si>
    <t>Krasselt-Maier, Judith</t>
  </si>
  <si>
    <t>Passagen in den Sozialwissenschaften. Beiträge der Stipendiaten</t>
  </si>
  <si>
    <t>Beyer-Stiftung, Lothar</t>
  </si>
  <si>
    <t>Integration optischer Filter mit strukturierten mikromechanisch abstimmbaren Sensor-Arrays mittels Dünnschichtdeposition und Nanostrukturierung, 2. korrigierte Auflage</t>
  </si>
  <si>
    <t>Schultz, Karin</t>
  </si>
  <si>
    <t>Contribution of Modelling and Analysis of Wireless Communication for Safety related Systems with Bluetooth Technology</t>
  </si>
  <si>
    <t>Pendli, Pavan Kumar</t>
  </si>
  <si>
    <t>Computational Modelling of Opto-electric Properties of Nanowire Array Solar Cells</t>
  </si>
  <si>
    <t>Yu, Shuqing</t>
  </si>
  <si>
    <t>Autonomous Voltage Control Strategies in Distribution Grids with Photovoltaic Systems. Technical and Economic Assessment</t>
  </si>
  <si>
    <t>Stetz, Thomas</t>
  </si>
  <si>
    <t>Mentoring als Möglichkeitsraum. Erfahrungen der Teilnehmerinnen und Teilnehmer eines Mentoringprogramms für Studentinnen mit Behinderung</t>
  </si>
  <si>
    <t>Verfassungskonformer Einsatz rechnergesteuerter Wahlgeräte. Anforderungen und Lösungsvorschläge</t>
  </si>
  <si>
    <t>Haibl, Fabian</t>
  </si>
  <si>
    <t>Wissensbasiertes System zur Anforderungsanalyse bei der Anlagenplanung am Beispiel intralogistischer Anlagen</t>
  </si>
  <si>
    <t>Kolbe, Constanze</t>
  </si>
  <si>
    <t>Die Verknüpfung von Emissionshandelssystemen – sozial gerecht und ökologisch effektiv</t>
  </si>
  <si>
    <t>Lenz, Christine</t>
  </si>
  <si>
    <t>Reaktionen in Leichtflüssigkeitsabscheidern bei Zufluss von Bioethanol- und Ethyltertiärbutylether-Benzin-Gemischen</t>
  </si>
  <si>
    <t>Brügging, Elmar</t>
  </si>
  <si>
    <t>Modellierung der parasitären passiven Elemente in IGBT-Hochleistungsmodulen</t>
  </si>
  <si>
    <t>Heeb, Michael</t>
  </si>
  <si>
    <t>Kölner Zunfthandwerkerinnen 1650-1750. Arbeit und Geschlecht</t>
  </si>
  <si>
    <t>Athenas, Muriel González</t>
  </si>
  <si>
    <t>Untersuchung des Wechselverformungsverhaltens von Werkzeugstählen bei isothermer und thermomechanischer Ermüdung im Temperaturbereich von RT bis 650 °C</t>
  </si>
  <si>
    <t>Lebsanft, Markus</t>
  </si>
  <si>
    <t>Adaptive Control Strategies for the Production of Thermo-Mechanically Tailored Products</t>
  </si>
  <si>
    <t>Clobes, Jörg</t>
  </si>
  <si>
    <t>What Materials will Exist in a Decade?</t>
  </si>
  <si>
    <t>Klussmann, Heike</t>
  </si>
  <si>
    <t>Static and Dynamic Crack Propagation in Brittle Materials with XFEM</t>
  </si>
  <si>
    <t>Petri, Wagner Carlos Fleming</t>
  </si>
  <si>
    <t>Produktbewertungen im Internet. Eine theoretische und empirische Analyse von nutzergenerierten Inhalten in Bewertungsportalen und deren Einfluss auf die Produktbewertung von Nutzern</t>
  </si>
  <si>
    <t>Zimmermann, Roland</t>
  </si>
  <si>
    <t>Rastertunnelmikroskopie und -spektroskopie an Au/Ge(001)-Nanodrähten. Ein Modellsystem der Luttinger-Flüssigkeit</t>
  </si>
  <si>
    <t>Mietke, Sebastian</t>
  </si>
  <si>
    <t>Videobasierte Erfassung von Unterrichtsqualität im Anfangsunterricht der Grundschule. Klassenführung und Unterrichtsklima in Deutsch und Mathematik</t>
  </si>
  <si>
    <t>Gabriel, Katrin</t>
  </si>
  <si>
    <t>Towards a water and nutrient efficient forage production in semi-arid regions of Pakistan</t>
  </si>
  <si>
    <t>Ul-Allah, Sami</t>
  </si>
  <si>
    <t>Controlling in den USA. Eine konzeptionelle Analyse aus deutscher Perspektive</t>
  </si>
  <si>
    <t>Vesper, Oliver</t>
  </si>
  <si>
    <t>Rechtliche Fragestellungen bei Internetauktionen am Beispiel der Auktionsplattform eBay</t>
  </si>
  <si>
    <t>Bourzutschky, Alexander F.</t>
  </si>
  <si>
    <t>Examining European semi-natural grassland silages and urban green cut as input sources for the integrated generation of solid fuel and biogas from biomass</t>
  </si>
  <si>
    <t>Hensgen, Frank</t>
  </si>
  <si>
    <t>Optimierung der mechanischen Vorreinigungsstufe kommunaler Abwasserbehandlungsanlagen</t>
  </si>
  <si>
    <t>Frechen-Franz-Bernd</t>
  </si>
  <si>
    <t>Richtungseffekte bei Schiedsrichterentscheidungen im Fußball</t>
  </si>
  <si>
    <t>Krug, Marcel</t>
  </si>
  <si>
    <t>Phosphorrückhalt in der Mischwasserbehandlung durch Retentionsbodenfilter-Anlagen</t>
  </si>
  <si>
    <t>Felmeden, Jörg</t>
  </si>
  <si>
    <t>Permanentmagnetische Vormagnetisierung von Speicherdrosseln in Stromrichtern</t>
  </si>
  <si>
    <t>Friebe, Jens</t>
  </si>
  <si>
    <t>Was ist Information? Zu den Grundlagen der Designforschung</t>
  </si>
  <si>
    <t>3-D-Printing zementgebundener Formteile. Grundlagen, Entwicklung und Verwendung</t>
  </si>
  <si>
    <t>Fromm, Asko</t>
  </si>
  <si>
    <t>Model-driven development methodology for hybrid embedded systems based on UML with emphasis on safety-related requirements</t>
  </si>
  <si>
    <t>Daw Pérez, Zamira A.</t>
  </si>
  <si>
    <t>Schmerzkarrieren und Schmerzidentitäten – Die Formierung von Patienten mit Schmerz zu chronischen orthopädischen Schmerzpatienten. Eine soziologische Untersuchung im Milieu der spezialistischen Schmerzversorgung</t>
  </si>
  <si>
    <t>Pfankuch, Oliver</t>
  </si>
  <si>
    <t>Landschaft und Verkehr</t>
  </si>
  <si>
    <t>Körner, Stefan</t>
  </si>
  <si>
    <t>Rastertunnelmikroskopie und-spektroskopie an Ruthenaten und der violetten Lithium-Molybdän-Bronze</t>
  </si>
  <si>
    <t>Klinke, Melanie</t>
  </si>
  <si>
    <t>Organic Computing : Doctoral Dissertation Colloquium 2014</t>
  </si>
  <si>
    <t>Tomforde, Sven</t>
  </si>
  <si>
    <t>Einfluss persönlichkeitsbezogener und kultureller Konstrukte auf Verhandlungen</t>
  </si>
  <si>
    <t>Katrin Zulauf</t>
  </si>
  <si>
    <t>‘Weißt du wieviel Sternlein stehen?’ - Eine Kosmologie (nicht nur) für Religionslehrer/innen</t>
  </si>
  <si>
    <t>Dieterich, Veit-Jakobus</t>
  </si>
  <si>
    <t>Analyse des Zusammenhangs zwischen der Qualität Öffentlicher Deckungsmassen und der Rendite von Öffentlichen Pfandbriefen in Deutschland</t>
  </si>
  <si>
    <t>Doll, Georg F.</t>
  </si>
  <si>
    <t>Gewässerökologische Charakterisierung silikatischer Mittelgebirgsbäche im Kellerwald als Beitrag zur Fließgewässerbewertung</t>
  </si>
  <si>
    <t>Stein, Ulf</t>
  </si>
  <si>
    <t>Lokale Wohnungsmärkte im Wandel : Demografische Perspektiven und wohnungspolitische Optionen jenseits der Großstadt</t>
  </si>
  <si>
    <t>Pristl, Thomas</t>
  </si>
  <si>
    <t>Corporate Social Responsibility in Supply Chains : Relevance of Supplier Development</t>
  </si>
  <si>
    <t>Yawar, Sadaat Ali</t>
  </si>
  <si>
    <t>Analysis and Comparison of Power Electronic Converters with Electronic Isolation</t>
  </si>
  <si>
    <t>Kazanbas, Mehmet</t>
  </si>
  <si>
    <t>Market Orientation, Rural Out-migration, Crop Production and Household Food Security : The Case of Smallholders in Central Africa</t>
  </si>
  <si>
    <t>Ochieng, Justus</t>
  </si>
  <si>
    <t>Einfluss der Projektmanagementreife auf den Projekterfolg. Empirische Untersuchung im Industriebereich und Ableitung eines Vorgehensmodells</t>
  </si>
  <si>
    <t>Albrecht, Jan C.</t>
  </si>
  <si>
    <t>Entwicklung von Innovationsfähigkeit in Unternehmen. Abbau von fachsprachlichen Barrieren im intraorganisationalen Erkenntnistransfer zwischen den technologie- und marktnahen Bereichen von Unternehmen</t>
  </si>
  <si>
    <t>Kugler, Florian</t>
  </si>
  <si>
    <t>Planungskognitionen von Lehrern im Vorbereitungsdienst (LiV). Eine qualitative Untersuchung bei LiV der Wirtschafts- und Berufspädagogik</t>
  </si>
  <si>
    <t>Pfannkuche, Jens</t>
  </si>
  <si>
    <t>Optimierung von PV-Wechselrichtern im Netzparallelbetrieb mithilfe analytischer Verhaltens- und Verlustleistungsmodelle</t>
  </si>
  <si>
    <t>Pinne, Julia</t>
  </si>
  <si>
    <t>Teilentladungsmessung als Prüfverfahren in End of Line-Prüfungen elektrischer Traktionsmotoren</t>
  </si>
  <si>
    <t>Berbic, Amir</t>
  </si>
  <si>
    <t>Practical and Clinical Use of Opioids</t>
  </si>
  <si>
    <t>Linkopings Universitet</t>
  </si>
  <si>
    <t>Bastami, Salumeh</t>
  </si>
  <si>
    <t>Microstructure Evolution of Ti-Based and Cr Cathodes During Arc Discharging and Its Impact on Coating Growth</t>
  </si>
  <si>
    <t>Zhu, Jianqiang</t>
  </si>
  <si>
    <t>Cognitive Function in Elderly Patients with Chronic Heart Failure</t>
  </si>
  <si>
    <t>Hjelm, Carina</t>
  </si>
  <si>
    <t>Live Long and Prosper : Health-Promoting Conditions at Work</t>
  </si>
  <si>
    <t>Fagerlind Ståhl, Anna-Carin</t>
  </si>
  <si>
    <t>VEGF-Mediated Vascular Functions in Health and Disease</t>
  </si>
  <si>
    <t>Cao, Ziquan</t>
  </si>
  <si>
    <t>South Pacific Museums : Experiments in Culture</t>
  </si>
  <si>
    <t>Monash University Publishing</t>
  </si>
  <si>
    <t>Healy, Chris</t>
  </si>
  <si>
    <t>The Living Stream : Yeats Annual No. 18</t>
  </si>
  <si>
    <t>Open Book Publishers</t>
  </si>
  <si>
    <t>Gould, Warwick</t>
  </si>
  <si>
    <t>Foundations for Moral Relativism</t>
  </si>
  <si>
    <t>Velleman, J. David</t>
  </si>
  <si>
    <t>A People Passing Rude : British Responses to Russian Culture</t>
  </si>
  <si>
    <t>Cross, Anthony</t>
  </si>
  <si>
    <t>Text and Genre in Reconstruction : Effects of Digitalization on Ideas, Behaviours, Products and Institutions</t>
  </si>
  <si>
    <t>McCarty, Willard</t>
  </si>
  <si>
    <t>The End and the Beginning : The Book of My Life</t>
  </si>
  <si>
    <t>Les Bienveillantes de Jonathan Littell : Études Réunies Par Murielle Lucie Clément</t>
  </si>
  <si>
    <t>Clément, Murielle Lucie</t>
  </si>
  <si>
    <t>Digital Humanities Pedagogy : Practices, Principles and Politics</t>
  </si>
  <si>
    <t>Hirsch, Brett D.</t>
  </si>
  <si>
    <t>Why Do We Quote? : The Culture and History of Quotation</t>
  </si>
  <si>
    <t>Finnegan, Ruth</t>
  </si>
  <si>
    <t>The Theatre of Shelley</t>
  </si>
  <si>
    <t>Mulhallen, Jacqueline</t>
  </si>
  <si>
    <t>Frontier Encounters : Knowledge and Practice at the Russian, Chinese and Mongolian Border</t>
  </si>
  <si>
    <t>Billé, Franck</t>
  </si>
  <si>
    <t>The Digital Public Domain : Foundations for an Open Culture</t>
  </si>
  <si>
    <t>Dulong de Rosnay, Melanie</t>
  </si>
  <si>
    <t>Bourdieu and Literature</t>
  </si>
  <si>
    <t>Speller, John R. W.</t>
  </si>
  <si>
    <t>Peace and Democratic Society</t>
  </si>
  <si>
    <t>Sen, Amartya</t>
  </si>
  <si>
    <t>Letters of Blood and Other Works in English</t>
  </si>
  <si>
    <t>Printz-Påhlson, Göran</t>
  </si>
  <si>
    <t>Cicero, Against Verres, 2. 1. 53-86 : Latin Text with Introduction, Study Questions, Commentary and English Translation</t>
  </si>
  <si>
    <t>Gildenhard, Ingo</t>
  </si>
  <si>
    <t>The End of the World : Apocalypse and Its Aftermath in Western Culture</t>
  </si>
  <si>
    <t>Lisboa, Maria Manuel</t>
  </si>
  <si>
    <t>Women in Nineteenth-Century Russia : Lives and Culture</t>
  </si>
  <si>
    <t>Rosslyn, Wendy</t>
  </si>
  <si>
    <t>The Passion of Max Von Oppenheim : Archaeology and Intrigue in the Middle East from Wilhelm II to Hitler</t>
  </si>
  <si>
    <t>Oral Literature in Africa</t>
  </si>
  <si>
    <t>Coleridge's Laws : A Study of Coleridge in Malta</t>
  </si>
  <si>
    <t>Hough, Barry</t>
  </si>
  <si>
    <t>The Sword of Judith : Judith Studies Across the Disciplines</t>
  </si>
  <si>
    <t>Brine, Kevin R.</t>
  </si>
  <si>
    <t>Privilege and Property : Essays on the History of Copyright</t>
  </si>
  <si>
    <t>Deazley, Ronan</t>
  </si>
  <si>
    <t>The Altering Eye : Contemporary International Cinema</t>
  </si>
  <si>
    <t>Kolker, Robert Phillip</t>
  </si>
  <si>
    <t>Brownshirt Princess : A Study of the 'Nazi Conscience'</t>
  </si>
  <si>
    <t>That Greece Might Still Be Free : The Philhellenes in the War of Independence</t>
  </si>
  <si>
    <t>St Clair, William</t>
  </si>
  <si>
    <t>Telling Tales : The Impact of Germany on English Children's Books 1780-1918</t>
  </si>
  <si>
    <t>Blamires, David</t>
  </si>
  <si>
    <t>Virgil, Aeneid, 4. 1-299 : Latin Text, Study Questions, Commentary and Interpretative Essays</t>
  </si>
  <si>
    <t>Is Behavioral Economics Doomed? : The Ordinary Versus the Extraordinary</t>
  </si>
  <si>
    <t>Levine, David K.</t>
  </si>
  <si>
    <t>Economic Fables</t>
  </si>
  <si>
    <t>Rubinstein, Ariel</t>
  </si>
  <si>
    <t>Henry James's Europe : Heritage and Transfer</t>
  </si>
  <si>
    <t>Tredy, Dennis</t>
  </si>
  <si>
    <t>Storytelling in Northern Zambia : Theory, Method, Practice and Other Necessary Fictions</t>
  </si>
  <si>
    <t>Cancel, Robert</t>
  </si>
  <si>
    <t>The Classic Short Story, 1870-1925 : Theory of a Genre</t>
  </si>
  <si>
    <t>Goyet, Florence</t>
  </si>
  <si>
    <t>On History : Introduction to World History (1831)</t>
  </si>
  <si>
    <t>Xiipúktan (First of All) : Three Views of the Origins of the Quechan People</t>
  </si>
  <si>
    <t>Bryant, George</t>
  </si>
  <si>
    <t>Beyond Holy Russia : The Life and Times of Stephen Graham</t>
  </si>
  <si>
    <t>Hughes, Michael</t>
  </si>
  <si>
    <t>Tacitus, Annals, 15. 20-23, 33-45 : Latin Text, Study Aids with Vocabulary, and Commentary</t>
  </si>
  <si>
    <t>Owen, Mathew</t>
  </si>
  <si>
    <t>Yeats's Mask : Yeats Annual No. 19</t>
  </si>
  <si>
    <t>Mills Harper, Margaret</t>
  </si>
  <si>
    <t>How to Read a Folktale : The 'Ibonia' Epic from Madagascar</t>
  </si>
  <si>
    <t>Haring, Lee</t>
  </si>
  <si>
    <t>Feeding the City : Work and Food Culture of the Mumbai Dabbawalas</t>
  </si>
  <si>
    <t>Roncaglia, Sara</t>
  </si>
  <si>
    <t>Oral Literature in the Digital Age : Archiving Orality and Connecting with Communities</t>
  </si>
  <si>
    <t>Turin, Mark</t>
  </si>
  <si>
    <t>A Time Travel Dialogue</t>
  </si>
  <si>
    <t>Carroll, John W.</t>
  </si>
  <si>
    <t>In the Lands of the Romanovs : An Annotated Bibliography of First-Hand English-language Accounts of the Russian Empire (1613-1917)</t>
  </si>
  <si>
    <t>Cicero, on Pompey's Command (de Imperio), 27-49 : Latin Text, Study Aids with Vocabulary, Commentary, and Translation</t>
  </si>
  <si>
    <t>Denis Diderot's Rameau's Nephew</t>
  </si>
  <si>
    <t>Diderot, Denis</t>
  </si>
  <si>
    <t>The Anglo-Scottish Ballad and Its Imaginary Contexts</t>
  </si>
  <si>
    <t>Atkinson, David</t>
  </si>
  <si>
    <t>Géographie des Interfaces : Une Nouvelle Vision des Territoires</t>
  </si>
  <si>
    <t>Quae</t>
  </si>
  <si>
    <t>Allard, Paul</t>
  </si>
  <si>
    <t>Une Histoire des Plantes Coloniales : Du Cacao à la Vanille</t>
  </si>
  <si>
    <t>Volper, Serge</t>
  </si>
  <si>
    <t>Le Fonio, une Céréale Africaine</t>
  </si>
  <si>
    <t>Qualité du Matériel Forestier de Reproduction et Application des Directives Communautaires</t>
  </si>
  <si>
    <t>Terrasson, Daniel</t>
  </si>
  <si>
    <t>Le Couple Produit/territoire : Régulation Ago-Antagoniste Entre Projet Individuel et Projet Collectif : régulation ago-antagoniste entre projet individuel et projet collectif</t>
  </si>
  <si>
    <t>Rollet, Anne</t>
  </si>
  <si>
    <t>Montagne, Laboratoire de la Diversité</t>
  </si>
  <si>
    <t>Barruet, Josette</t>
  </si>
  <si>
    <t>Territoires Ruraux et développement. Quel Rôle Pour la Recherche ?</t>
  </si>
  <si>
    <t>Berlan-Darqué, Martine</t>
  </si>
  <si>
    <t>Éléments d'hydraulique Torrentielle</t>
  </si>
  <si>
    <t>Meunier, Maurice</t>
  </si>
  <si>
    <t>Guide Neige et Avalanches. Connaissances, Pratiques, Sécurité</t>
  </si>
  <si>
    <t>Ancey, Christophe</t>
  </si>
  <si>
    <t>Lacs de Haute Altitude. Méthodes d'échantillonnage Ichtyologique. Gestion Piscicole</t>
  </si>
  <si>
    <t>Rivier, Bernard</t>
  </si>
  <si>
    <t>Conséquences d'un Incendie de forêt Dans le Bassin Versant du Rimbaud</t>
  </si>
  <si>
    <t>Martin, Claude</t>
  </si>
  <si>
    <t>Volatilisation de l'azote Ammoniacal des Lisiers Après épandage : Quantification et étude des Facteurs D'influence</t>
  </si>
  <si>
    <t>Moal, Jean-François</t>
  </si>
  <si>
    <t>Pratiques et Stratégies Foncières des Agriculteurs : Un Outil d'analyse Pour l'aménagement des Zones Fragiles</t>
  </si>
  <si>
    <t>Morardet, Sylvie</t>
  </si>
  <si>
    <t>Produits Phytosanitaires. Processus de Transfert et Modélisation Dans les Bassins Versants : Séminaire de Nançy : 22 et 23 Mai 1996</t>
  </si>
  <si>
    <t>Bélamie, René</t>
  </si>
  <si>
    <t>Typologie Aquacole des Marais Salants de la Côte Atlantique</t>
  </si>
  <si>
    <t>Clément, Olivier</t>
  </si>
  <si>
    <t>La Mesure économique des Bénéfices Attachés Aux Hydrosystèmes</t>
  </si>
  <si>
    <t>Point, Patrick</t>
  </si>
  <si>
    <t>Coopérations, Territoires et Entreprises Agroalimentaires</t>
  </si>
  <si>
    <t>Fourcade, Colette</t>
  </si>
  <si>
    <t>Techniques de Reboisement : Guide Technique du Forestier Méditerranéen Français. Chapitre 7</t>
  </si>
  <si>
    <t>Marill, Robert</t>
  </si>
  <si>
    <t>Plantation d'arbres en Prairie Pâturée</t>
  </si>
  <si>
    <t>Agrech, Gilles</t>
  </si>
  <si>
    <t>Les Bassins Versants Expérimentaux de Draix. Laboratoire d'étude de l'érosion en Montagne</t>
  </si>
  <si>
    <t>Mathys, Nicolle</t>
  </si>
  <si>
    <t>Le Pivot</t>
  </si>
  <si>
    <t>RNED</t>
  </si>
  <si>
    <t>De l'expertise Scientifique Au Risque Négocié. le Cas du Risque en Montagne</t>
  </si>
  <si>
    <t>Decrop, Geneviève</t>
  </si>
  <si>
    <t>Etude de la Formation d'un Lit Torrentiel</t>
  </si>
  <si>
    <t>Koulinski, Vincent</t>
  </si>
  <si>
    <t>Stations Forestières : Guide Technique du Forestier Méditerranéen Français. Chapitre 2</t>
  </si>
  <si>
    <t>Boisseau, Bénédicte</t>
  </si>
  <si>
    <t>Ramiran 98 Actes de la 8e Conférence Internationale Sur les Stratégies de Gestion des déchets Organiques en Agriculture : Vol. 1: Proceedings of the Oral Presentations</t>
  </si>
  <si>
    <t>Maudet, Marie-Noëlle</t>
  </si>
  <si>
    <t>Agriculteurs, Agricultures et Forêts</t>
  </si>
  <si>
    <t>Du Concept de BVRE à Celui de Zone Atelier Dans les Recherches Menées en Eaux Continentales</t>
  </si>
  <si>
    <t>Houi, Didier</t>
  </si>
  <si>
    <t>Guide Pour le Diagnostic Rapide des Barrages Anciens</t>
  </si>
  <si>
    <t>Degoutte, Gérard</t>
  </si>
  <si>
    <t>Compte-Rendu de Recherches N° 3 BVRE de Draix</t>
  </si>
  <si>
    <t>Rhéologie des Boues et Laves Torrentielles : Étude de Dispersions et Suspensions Concentrées</t>
  </si>
  <si>
    <t>Coussot, Philippe</t>
  </si>
  <si>
    <t>Perception Publique et Attitudes des Propriétaires Envers la forêt en Europe : Commentaires et Synthèses du Groupe de Travail COST E3 - WG1 1994-1998</t>
  </si>
  <si>
    <t>Insufflation d'air Fines Bulles Application Aux Stations d'épuration en Boues Activées des Petites Collectivités : Document Technique FNDAE N° 26</t>
  </si>
  <si>
    <t>Duchène, Philippe</t>
  </si>
  <si>
    <t>Estimation de l'évapotranspiration Par Télédétection</t>
  </si>
  <si>
    <t>Vidal, Alain</t>
  </si>
  <si>
    <t>L' apiculture</t>
  </si>
  <si>
    <t>Paterson, Peter David</t>
  </si>
  <si>
    <t>Production de Plants Forestiers : Guide Technique du Forestier Méditerranéen Français. Chapitre 6</t>
  </si>
  <si>
    <t>Argillier, Christine</t>
  </si>
  <si>
    <t>La Neige: Recherche et Réglementation : recherche et réglementation</t>
  </si>
  <si>
    <t>Naaim-Bouvet, Florence</t>
  </si>
  <si>
    <t>Séminaire de Rhéologie</t>
  </si>
  <si>
    <t>Typologie des Stations Forestières du Massif Sainte-Victoire</t>
  </si>
  <si>
    <t>Ladier, Jean</t>
  </si>
  <si>
    <t>Le Golfe du Lion : Un Observatoire de l'environnement en Méditerranée</t>
  </si>
  <si>
    <t>Monaco, André</t>
  </si>
  <si>
    <t>Les Maladies émergentes : Épidémiologie Chez le Végétal, l'animal et L'homme</t>
  </si>
  <si>
    <t>Barnouin, Jacques</t>
  </si>
  <si>
    <t>Forests, Carbon Cycle and Climate Change</t>
  </si>
  <si>
    <t>Loustau, Denis</t>
  </si>
  <si>
    <t>Les Pêches Côtières Bretonnes : Méthodes d'analyse et Aménagement</t>
  </si>
  <si>
    <t>Talidec, Catherine</t>
  </si>
  <si>
    <t>Homme et Animal, la Question des Frontières</t>
  </si>
  <si>
    <t>Camos, Valérie</t>
  </si>
  <si>
    <t>Le Séchage des Mangues</t>
  </si>
  <si>
    <t>Rivier, Michel</t>
  </si>
  <si>
    <t>Génétiquement Indéterminé : Le Vivant Auto-Organisé</t>
  </si>
  <si>
    <t>Pouteau, Sylvie</t>
  </si>
  <si>
    <t>Surveillance, Maintenance and Diagnosis of Flood Protection Dikes : A Practical Handbook for Owners and Operators</t>
  </si>
  <si>
    <t>Mériaux, Patrice</t>
  </si>
  <si>
    <t>Marine Renewable Energies : Prospective Foresight Study For 2030</t>
  </si>
  <si>
    <t>Collectif</t>
  </si>
  <si>
    <t>La Santé Animale 2 : 2. Principales Maladies</t>
  </si>
  <si>
    <t>Hunter, Archie</t>
  </si>
  <si>
    <t>La Santé Animale : 1. Généralités</t>
  </si>
  <si>
    <t>Les Semences</t>
  </si>
  <si>
    <t>Turner, Michael</t>
  </si>
  <si>
    <t>Du Cemagref à Irstea : Un Engagement Pour la Recherche Environnementale</t>
  </si>
  <si>
    <t>Griset, Pascal</t>
  </si>
  <si>
    <t>Le Virus du Nil Occidental</t>
  </si>
  <si>
    <t>Bicout, Dominique J.</t>
  </si>
  <si>
    <t>Le Palmier à Huile en Plantation Villageoise</t>
  </si>
  <si>
    <t>Jacquemard, Jean-Charles</t>
  </si>
  <si>
    <t>Le Sorgho</t>
  </si>
  <si>
    <t>Chantereau, Jacques</t>
  </si>
  <si>
    <t>Féminin-Masculin : Genre et Agricultures Familiales</t>
  </si>
  <si>
    <t>Guétat-Bernard, Hélène</t>
  </si>
  <si>
    <t>Les Cultures Fourragères</t>
  </si>
  <si>
    <t>Klein, Henri-Dominique</t>
  </si>
  <si>
    <t>Comportement, Conduite et Bien-être Animal</t>
  </si>
  <si>
    <t>Manteca i Vilanova, Xavier</t>
  </si>
  <si>
    <t>Diversité des Agricultures Familiales : Exister, Se Transformer, Devenir</t>
  </si>
  <si>
    <t>Bosc, Pierre-Marie</t>
  </si>
  <si>
    <t>American Dolorologies : Pain, Sentimentalism, Biopolitics</t>
  </si>
  <si>
    <t>State University of New York Press</t>
  </si>
  <si>
    <t>Strick, Simon</t>
  </si>
  <si>
    <t>Immigrant Protest : Politics, Aesthetics, and Everyday Dissent</t>
  </si>
  <si>
    <t>Marciniak, Katarzyna</t>
  </si>
  <si>
    <t>Defending Women's Rights in Europe : Gender Equality and EU Enlargement</t>
  </si>
  <si>
    <t>Avdeyeva, Olga A.</t>
  </si>
  <si>
    <t>World Politics at the Edge of Chaos : Reflections on Complexity and Global Life</t>
  </si>
  <si>
    <t>Kavalski, Emilian</t>
  </si>
  <si>
    <t>When Protest Makes Policy : How Social Movements Represent Disadvantaged Groups</t>
  </si>
  <si>
    <t>University of Michigan Press</t>
  </si>
  <si>
    <t>Weldon, Laurel</t>
  </si>
  <si>
    <t>Word and Image in Russian History : Essays in Honor of Gary Marker</t>
  </si>
  <si>
    <t>di Salvo, Maria</t>
  </si>
  <si>
    <t>The First to Be Destroyed : The Jewish Community of Kleczew and the Beginning of the Final Solution</t>
  </si>
  <si>
    <t>Medykowski, Witold</t>
  </si>
  <si>
    <t>Costing Improved Water Supply Systems for Low-Income Communities : A Practical Manual</t>
  </si>
  <si>
    <t>Carlevaro, Fabrizio</t>
  </si>
  <si>
    <t>Die Makrozoobenthosgemeinschaften hydromorphologisch unterschiedlicher Tieflandbäche</t>
  </si>
  <si>
    <t>Brückmann, Jan</t>
  </si>
  <si>
    <t>Kippstabilität von Stahlbeton- und Spannbetonträgern (2. überarbeitete und aktualisierte Auflage)</t>
  </si>
  <si>
    <t>Röder, Friedrich-Karl</t>
  </si>
  <si>
    <t>Auslegungskonzept gegen Volumenversagen bei einsatzgehärteten Stirnrädern</t>
  </si>
  <si>
    <t>Weber, Ralf</t>
  </si>
  <si>
    <t>Asian Students in Germany : Contexts of their Studies, Living Conditions and Future Plans</t>
  </si>
  <si>
    <t>Knerr, Béatrice</t>
  </si>
  <si>
    <t>Abbildung und Analyse von Fehlstellen in Betonbauteilen mittels Ultraschall unter Berücksichtigung von Materialinhomogenitäten</t>
  </si>
  <si>
    <t>Ballier, Gregor</t>
  </si>
  <si>
    <t>SoJA - SoNicht, Eiweißquellen auf dem Prüfstand</t>
  </si>
  <si>
    <t>Projektgruppe SoJa SoNicht</t>
  </si>
  <si>
    <t>Man soll etwas glauben, was man nie gesehen hat</t>
  </si>
  <si>
    <t>Mentalisierungsförderung als professionalisierter Erkenntnisprozess</t>
  </si>
  <si>
    <t>Hartmann, Lorena Katharina</t>
  </si>
  <si>
    <t>Auswirkungen des Übergangs von der Grundschule in die Sekundarstufe I auf das Wohlbefinden und Selbstkonzept von Schülerinnen und Schülern</t>
  </si>
  <si>
    <t>Storck, Julian</t>
  </si>
  <si>
    <t>Politische Macht transnationaler Unternehmen in der ökonomischen Theorie der Internationalen Politischen Ökonomie</t>
  </si>
  <si>
    <t>Dürmeier, Thomas</t>
  </si>
  <si>
    <t>Vergleich ergonomischer Bewertungsmethoden mit dem subjektiven Befinden der Mitarbeiter</t>
  </si>
  <si>
    <t>Kotzab, Daniel</t>
  </si>
  <si>
    <t>Water Resources Availability, National Food Security Strategies and Farmers' Reactions in Darab, Iran</t>
  </si>
  <si>
    <t>Dehnavi, Sudeh</t>
  </si>
  <si>
    <t>Beweiseignung fortgeschrittener elektronischer Signaturen</t>
  </si>
  <si>
    <t>Grigorjew, Olga</t>
  </si>
  <si>
    <t>Konsistente Schutzgutbehandlung in Zulassungsverfahren</t>
  </si>
  <si>
    <t>Kober, Detlef</t>
  </si>
  <si>
    <t>Wirkung von Outplacement-Beratung</t>
  </si>
  <si>
    <t>Rösler, Daniela</t>
  </si>
  <si>
    <t>Essays on funding and effects of public expenditures on household related infrastructure</t>
  </si>
  <si>
    <t>Krauskopf, Thomas</t>
  </si>
  <si>
    <t>Untersuchungen zur Lebensdauer und Zuverlässigkeit von Elektrofahrzeugen</t>
  </si>
  <si>
    <t>Hochgräf, Marco</t>
  </si>
  <si>
    <t>Asian Students in Germany</t>
  </si>
  <si>
    <t>Corporate Social Responsibility (CSR)</t>
  </si>
  <si>
    <t>Deinert, Stefanie</t>
  </si>
  <si>
    <t>Development of Body Composition and Its Relationship with Physical Activity in Healthy Swedish Children : A Longitudinal Study until 4. 5 Years of Age Including Evaluation of Methods to Assess Physical Activity and Energy Intake</t>
  </si>
  <si>
    <t>Henriksson, Hanna</t>
  </si>
  <si>
    <t>Body Composition of Parents and Their Infants : Methodological, Anthropometric, Metabolic and Genetic Studies</t>
  </si>
  <si>
    <t>Henriksson, Pontus</t>
  </si>
  <si>
    <t>Evaluation of Repositioning in Pressure Ulcer Prevention</t>
  </si>
  <si>
    <t>Källman, Ulrika</t>
  </si>
  <si>
    <t>Vad Hände? : Kvinnors Företagande Och de Strukturella Villkoren - en Studie I Spåren Av Den Offentliga Sektorns Omvandling</t>
  </si>
  <si>
    <t>Sköld, Birgitta</t>
  </si>
  <si>
    <t>Interface Phenomena in Organic Electronics</t>
  </si>
  <si>
    <t>Bao, Qinye</t>
  </si>
  <si>
    <t>Electrodes and Electrokinetic Systems for Biotechnological Applications</t>
  </si>
  <si>
    <t>Nilsson, Sara</t>
  </si>
  <si>
    <t>Automated CtP Calibration for Offset Printing : Dot Gain Compensation, Register Variation and Trapping Evaluation</t>
  </si>
  <si>
    <t>Hauck, Shahram</t>
  </si>
  <si>
    <t>Design of High-Speed Time-Interleaved Delta-Sigma d/a Converters</t>
  </si>
  <si>
    <t>Bhide, Ameya</t>
  </si>
  <si>
    <t>Thomas Annan of Glasgow : Pioneer of the Documentary Photograph</t>
  </si>
  <si>
    <t>From Dust to Digital : Ten Years of the Endangered Archives Programme</t>
  </si>
  <si>
    <t>Kominko, Maja</t>
  </si>
  <si>
    <t>Measuring the Master Race : Physical Anthropology in Norway 1890-1945</t>
  </si>
  <si>
    <t>Kyllingstad, Jon Røyne</t>
  </si>
  <si>
    <t>Animals and Medicine : The Contribution of Animal Experiments to the Control of Disease</t>
  </si>
  <si>
    <t>Botting, Jack</t>
  </si>
  <si>
    <t>The Scientific Revolution Revisited</t>
  </si>
  <si>
    <t>Teich, Mikulás</t>
  </si>
  <si>
    <t>Fiesco's Conspiracy at Genoa</t>
  </si>
  <si>
    <t>Schiller, Friedrich</t>
  </si>
  <si>
    <t>Dictionary of the British English Spelling System</t>
  </si>
  <si>
    <t>Brooks, Greg</t>
  </si>
  <si>
    <t>Essays in Conveyancing and Property Law in Honour of Professor Robert Rennie</t>
  </si>
  <si>
    <t>McCarthy, Frankie</t>
  </si>
  <si>
    <t>Complexity, Security and Civil Society in East Asia : Foreign Policies and the Korean Peninsula</t>
  </si>
  <si>
    <t>Hayes, Peter</t>
  </si>
  <si>
    <t>What Works in Conservation : 2015</t>
  </si>
  <si>
    <t>Sutherland, William J.</t>
  </si>
  <si>
    <t>Working on the Railroad, Walking in Beauty : Navajos, Hozho, and Track Work</t>
  </si>
  <si>
    <t>Youngdahl, Jay</t>
  </si>
  <si>
    <t>Go East, Young Man : Imagining the American West As the Orient</t>
  </si>
  <si>
    <t>Francaviglia, Richard</t>
  </si>
  <si>
    <t>Coal in Our Veins : A Personal Journey</t>
  </si>
  <si>
    <t>Thomas, Erin Ann</t>
  </si>
  <si>
    <t>Perpetual Happiness : The Ming Emperor Yongle</t>
  </si>
  <si>
    <t>University of Washington Press</t>
  </si>
  <si>
    <t>Tsai, Shih-shan Henry</t>
  </si>
  <si>
    <t>The Mandate of Heaven and The Great Ming Code</t>
  </si>
  <si>
    <t>Yonglin, Jiang</t>
  </si>
  <si>
    <t>The Story of Han Xiangzi : The Alchemical Adventures of a Daoist Immortal</t>
  </si>
  <si>
    <t>Yang, Erzeng</t>
  </si>
  <si>
    <t>Vignettes from the Late Ming : A Hsiao-p’in Anthology</t>
  </si>
  <si>
    <t>Ye, Yang</t>
  </si>
  <si>
    <t>The Scholar and the State : Fiction as Political Discourse in Late Imperial China</t>
  </si>
  <si>
    <t>Ge, Liangyan</t>
  </si>
  <si>
    <t>Pacific Strife : The Great Powers and Their Political and Economic Rivalries in Asia and the Western Pacific, 1870-1914</t>
  </si>
  <si>
    <t>van Dijk, Kees</t>
  </si>
  <si>
    <t>Landscape Biographies : Geographical, Historical and Archaeological Perspectives on the Production and Transmission of Landscapes</t>
  </si>
  <si>
    <t>Hermans, Rita</t>
  </si>
  <si>
    <t>Feminisms : Diversity, Difference and Multiplicity in Contemporary Film Cultures</t>
  </si>
  <si>
    <t>Backman Rogers, Anna</t>
  </si>
  <si>
    <t>Digital Passages : Migrant Youth 2. 0: Diaspora, Gender and Youth Cultural Intersections</t>
  </si>
  <si>
    <t>Leurs, Koen</t>
  </si>
  <si>
    <t>Farocki/Godard : Film As Theory</t>
  </si>
  <si>
    <t>Pantenburg, Volker</t>
  </si>
  <si>
    <t>Migration and Integration in Europe, Southeast Asia, and Australia : A Comparative Perspective</t>
  </si>
  <si>
    <t>Pietsch, Juliet</t>
  </si>
  <si>
    <t>Late-Career Risks in Changing Welfare States : Comparing Germany and the United States since The 1980s</t>
  </si>
  <si>
    <t>Heisig, Jan Paul</t>
  </si>
  <si>
    <t>Players and Arenas : The Interactive Dynamics of Protest</t>
  </si>
  <si>
    <t>Duyvendak, Jan Willem</t>
  </si>
  <si>
    <t>Observing Protest from a Place : The World Social Forum in Dakar (2011)</t>
  </si>
  <si>
    <t>Siméant, Johanna</t>
  </si>
  <si>
    <t>Stumbling Blocks Before the Blind : Medieval Constructions of a Disability</t>
  </si>
  <si>
    <t>Wheatley, Edward</t>
  </si>
  <si>
    <t>Defending Christian Faith : The Fifth Part of the Christian Apology of Gerasimus</t>
  </si>
  <si>
    <t>Bahkou, Abjar</t>
  </si>
  <si>
    <t>Optically Induced Nanostructures : Biomedical and Technical Applications</t>
  </si>
  <si>
    <t>König, Karsten</t>
  </si>
  <si>
    <t>The Sons of Scripture : The Karaites in Poland and Lithuania in the Twentieth Century</t>
  </si>
  <si>
    <t>Kizilov, Mikhail</t>
  </si>
  <si>
    <t>Plant Life of Southwestern Australia : Adaptations for Survival</t>
  </si>
  <si>
    <t>Groom, Philip</t>
  </si>
  <si>
    <t>Vergil´s Political Commentary : In the Eclogues, Georgics and Aeneid</t>
  </si>
  <si>
    <t>Weeda, Leendert</t>
  </si>
  <si>
    <t>The I of the Storm : Understanding the Suicidal Mind</t>
  </si>
  <si>
    <t>Lester, David</t>
  </si>
  <si>
    <t>Frankreichs Außenpolitik in der Julikrise 1914 : Ein Beitrag Zur Geschichte des Ausbruchs des Ersten Weltkrieges</t>
  </si>
  <si>
    <t>Schmidt, Stefan</t>
  </si>
  <si>
    <t>Das Deutsche Historische Institut Paris und Seine Gründungsväter : Ein Personengeschichtlicher Ansatz</t>
  </si>
  <si>
    <t>Abgrund Metz : Kriegserfahrung, Belagerungsalltag und Nationale Erziehung Im Schatten Einer Festung 1870/71</t>
  </si>
  <si>
    <t>Steinbach, Matthias</t>
  </si>
  <si>
    <t>Burgund und das Reich : Spätmittelalterliche Außenpolitik Am Beispiel der Regierung Karls des Kühnen (1465-1477)</t>
  </si>
  <si>
    <t>Ehm, Petra</t>
  </si>
  <si>
    <t>Computational Approaches to the Study of Movement in Archaeology : Theory, Practice and Interpretation of Factors and Effects of Long Term Landscape Formation and Transformation</t>
  </si>
  <si>
    <t>Polla, Silvia</t>
  </si>
  <si>
    <t>Initiation into the Mysteries of the Ancient World</t>
  </si>
  <si>
    <t>Bremmer, Jan N.</t>
  </si>
  <si>
    <t>Prehistoric Mobility and Diet in the West Eurasian Steppes 3500 to 300 BC : An Isotopic Approach</t>
  </si>
  <si>
    <t>Gerling, Claudia</t>
  </si>
  <si>
    <t>Geschichte Als Element Antiker Kultur : Die Griechen und Ihre Geschichte(n)</t>
  </si>
  <si>
    <t>Gehrke, Hans-Joachim</t>
  </si>
  <si>
    <t>Les 'autres' Rois : Études Sur la Royauté Comme Notion Hiérarchique Dans la Société Au Bas Moyen Âge et Au début de l'époque Moderne</t>
  </si>
  <si>
    <t>Hiltmann, Torsten</t>
  </si>
  <si>
    <t>Ein 'neues' Deutschland? eine Deutsch-Französische Bilanz 20 Jahre Nach der Vereinigung : Une 'nouvelle' Allemagne? un Bilan Franco-Allemand 20 Ans Après L'unification</t>
  </si>
  <si>
    <t>Acteurs des Transferts Culturels en Méditerranée Médiévale</t>
  </si>
  <si>
    <t>Abdellatif, Rania</t>
  </si>
  <si>
    <t>Die Erfindung des Modernen Militarismus : Krieg, Militär und Bürgerliche Gesellschaft Im Politischen Denken der Französischen Revolution 1789-1799</t>
  </si>
  <si>
    <t>Kruse, Wolfgang</t>
  </si>
  <si>
    <t>Suger en Question : Regards Croisés Sur Saint-Denis. Études Réunis Par Rolf Große</t>
  </si>
  <si>
    <t>Große, Rolf</t>
  </si>
  <si>
    <t>Pierre Viénot (1897-1944): ein Intellektueller in der Politik : Ein Intellektueller in der Politik</t>
  </si>
  <si>
    <t>Sonnabend, Gaby</t>
  </si>
  <si>
    <t>Der Europadiskurs Im Deutschen Exil 1933-1945</t>
  </si>
  <si>
    <t>Schilmar, Boris</t>
  </si>
  <si>
    <t>Vibrant Architecture : Matter As a Codesigner of Living Structures</t>
  </si>
  <si>
    <t>Armstrong, Rachel</t>
  </si>
  <si>
    <t>The Challenge of Minority Integration : Politics and Policies in the Nordic Nations</t>
  </si>
  <si>
    <t>Kraus, Peter A.</t>
  </si>
  <si>
    <t>Mensch und Computer 2015 - Usability Professionals : Workshop</t>
  </si>
  <si>
    <t>Endmann, Anja</t>
  </si>
  <si>
    <t>Mensch und Computer 2015 - Workshopband</t>
  </si>
  <si>
    <t>Weisbecker, Anette</t>
  </si>
  <si>
    <t>Mensch und Computer 2015 - Tagungsband</t>
  </si>
  <si>
    <t>Pielot, Martin</t>
  </si>
  <si>
    <t>Communication and Materiality : Written and Unwritten Communication in Pre-Modern Societies</t>
  </si>
  <si>
    <t>Enderwitz, Susanne</t>
  </si>
  <si>
    <t>Rating EFL Written Performance</t>
  </si>
  <si>
    <t>Bukta, Katalin</t>
  </si>
  <si>
    <t>Comparaisons, Raisons, Raisons D'État : Les Politiques de la République des Lettres Au Tournant du XVIIe Siècle</t>
  </si>
  <si>
    <t>Lefebvre, Armelle</t>
  </si>
  <si>
    <t>Der Munizipalsozialismus in Europa /le Socialisme Municipal en Europe</t>
  </si>
  <si>
    <t>Kühl, Uwe</t>
  </si>
  <si>
    <t>Die Gleichheit Vor Dem Gesetz Im Sinne des Art. 109 der Reichsverfassung. der Einfluß des Steuerrechts Auf Die Begriffsbildung des öffentlichen Rechts : Verhandlungen der Tagung der Vereinigung der Deutschen Staatsrechtslehrer Zu Münster I. W. Am 29. und 30. März 1926</t>
  </si>
  <si>
    <t>Bild - Raum - Handlung : Perspektiven der Archäologie</t>
  </si>
  <si>
    <t>Dally, Ortwin</t>
  </si>
  <si>
    <t>Kommunikationsräume Im Kaiserzeitlichen Rom</t>
  </si>
  <si>
    <t>Mundt, Felix</t>
  </si>
  <si>
    <t>Imagining Human Rights</t>
  </si>
  <si>
    <t>Kaul, Susanne</t>
  </si>
  <si>
    <t>Physik und Poetik : Produktionsästhetik und Werkgenese. Autorinnen und Autoren Im Dialog</t>
  </si>
  <si>
    <t>Heydenreich, Aura</t>
  </si>
  <si>
    <t>Totale Erziehung Für Den Totalen Krieg : Hitlerjugend und Nationalsozialistische Jugendpolitik</t>
  </si>
  <si>
    <t>Buddrus, Michael</t>
  </si>
  <si>
    <t>Inventar der Befehle der Sowjetischen Militäradministration Mecklenburg(-Vorpommern) 1945-1949</t>
  </si>
  <si>
    <t>Die Leistungsfähigkeit der Wissenschaft des Öffentlichen Rechts : Berichte und Diskussionen Auf der Tagung der Vereinigung der Deutschen Staatsrechtslehrer in Freiburg I. Br. Vom 3. Bis 6. Oktober 2007</t>
  </si>
  <si>
    <t>Hillgruber, Christian</t>
  </si>
  <si>
    <t>What Does Order Mean and What Orders Meaning? on the Structures That Constitute Meaning in Writing : Zu bedeutungskonstituierenden Ordnungsleistungen in Geschriebenem</t>
  </si>
  <si>
    <t>Haß, Christian David</t>
  </si>
  <si>
    <t>Integration Processes and Policies in Europe : Contexts, Levels and Actors</t>
  </si>
  <si>
    <t>Springer International Publishing AG</t>
  </si>
  <si>
    <t>Springer</t>
  </si>
  <si>
    <t>GarcÃ©s-MascareÃ±as, Blanca</t>
  </si>
  <si>
    <t>Akten Zur Auswärtigen Politik der Bundesrepublik Deutschland 1964</t>
  </si>
  <si>
    <t>Hölscher, Wolfgang</t>
  </si>
  <si>
    <t>Patient Engagement : A Consumer-Centered Model to Innovate Healthcare</t>
  </si>
  <si>
    <t>Graffigna, Guendalina</t>
  </si>
  <si>
    <t>Architectural Journal 1960-1975</t>
  </si>
  <si>
    <t>Krier, Rob</t>
  </si>
  <si>
    <t>The Archaeology of Death in Post-Medieval Europe</t>
  </si>
  <si>
    <t>Tarlow, Sarah</t>
  </si>
  <si>
    <t>Society, Law, and Culture in the Middle East : Modernities in the Making</t>
  </si>
  <si>
    <t>Ze'evi, Dror</t>
  </si>
  <si>
    <t>Open Source Archaeology : Ethics and Practice</t>
  </si>
  <si>
    <t>Wilson, Andrew T.</t>
  </si>
  <si>
    <t>50 Jahre Aktiengesetz</t>
  </si>
  <si>
    <t>Fleischer, Holger</t>
  </si>
  <si>
    <t>Wikipedia und Geschichtswissenschaft</t>
  </si>
  <si>
    <t>Wozniak, Thomas</t>
  </si>
  <si>
    <t>Ageing in Europe - Supporting Policies for an Inclusive Society</t>
  </si>
  <si>
    <t>The Post-Human Society : Elemental Contours of the Aesthetic Economy of the United States</t>
  </si>
  <si>
    <t>Kanth, Rajani</t>
  </si>
  <si>
    <t>Teaching Political Science to Undergraduates : Active Pedagogy for the Microchip Mind</t>
  </si>
  <si>
    <t>Paquette, Laure</t>
  </si>
  <si>
    <t>Simplifying Complexity : Rhetoric and the Social Politics of Dealing with Ignorance</t>
  </si>
  <si>
    <t>Yoos, George E.</t>
  </si>
  <si>
    <t>Microwave and Radio-Frequency Technologies in Agriculture : An Introduction for Agriculturalists and Engineers</t>
  </si>
  <si>
    <t>Brodie, Graham</t>
  </si>
  <si>
    <t>A Peep at the Blacks' : A History of Tourism at Coranderrk Aboriginal Station, 1863-1924</t>
  </si>
  <si>
    <t>Mobility and Biography</t>
  </si>
  <si>
    <t>Panter, Sarah</t>
  </si>
  <si>
    <t>Entwicklung eines Referenzmodells zur systematischen Steigerung der Mitgliederanzahl und der Nutzeraktivität in der Wachstumsphase von Virtuellen Communities</t>
  </si>
  <si>
    <t>Hartmann, Marco</t>
  </si>
  <si>
    <t>Handbook of Brand Semiotics</t>
  </si>
  <si>
    <t>The Masorah of Elijah Ha-Naqdan : An Edition of Ashkenazic Micrographical Notes</t>
  </si>
  <si>
    <t>Attia, Élodie</t>
  </si>
  <si>
    <t>Ein Sklavenball. Pompeji</t>
  </si>
  <si>
    <t>Horváth, Ödön von</t>
  </si>
  <si>
    <t>Biological Invasions in Changing Ecosystems : Vectors, Ecological Impacts, Management and Predictions</t>
  </si>
  <si>
    <t>Canning-Clode, João</t>
  </si>
  <si>
    <t>The Well-Being of Children : Philosophical and Social Scientific Approaches</t>
  </si>
  <si>
    <t>Schweiger, Gottfried</t>
  </si>
  <si>
    <t>Sustainability Indicators in Practice</t>
  </si>
  <si>
    <t>Latawiec, Agnieszka</t>
  </si>
  <si>
    <t>A COPD Primer</t>
  </si>
  <si>
    <t>Panos, Ralph</t>
  </si>
  <si>
    <t>Inside War : Understanding the Evolution of Organised Violence in the Global Era</t>
  </si>
  <si>
    <t>Armao, Fabio</t>
  </si>
  <si>
    <t>Fractional Dynamics</t>
  </si>
  <si>
    <t>Cattani, Carlo</t>
  </si>
  <si>
    <t>The Poetry of du Fu</t>
  </si>
  <si>
    <t>Owen, Stephen</t>
  </si>
  <si>
    <t>Logik : Wiener Logikkolleg 1894/95</t>
  </si>
  <si>
    <t>Twardowski, Kazimierz</t>
  </si>
  <si>
    <t>Quarks and Letters : Naturwissenschaften in der Literatur und Kultur der Gegenwart</t>
  </si>
  <si>
    <t>Das Mönchtum in der Religionspolitik Kaiser Justinians I. : Die Engel des Himmels und der Stellvertreter Gottes Auf Erden</t>
  </si>
  <si>
    <t>Foundations for Moral Relativism : Second Expanded Edition</t>
  </si>
  <si>
    <t>Tyneside Neighbourhoods : Deprivation, Social Life and Social Behaviour in One British City</t>
  </si>
  <si>
    <t>Nettle, Daniel</t>
  </si>
  <si>
    <t>Forests and Food : Addressing Hunger and Nutrition Across Sustainable Landscapes</t>
  </si>
  <si>
    <t>Vira, Bhaskar</t>
  </si>
  <si>
    <t>Tolerance : The Beacon of the Enlightenment</t>
  </si>
  <si>
    <t>Strategien ›kultureller Kannibalisierung‹ : Postkoloniale Repräsentationen vom brasilianischen Modernismo zum Cinema Novo</t>
  </si>
  <si>
    <t>Schulze, Peter W.</t>
  </si>
  <si>
    <t>Die Stimme im HipHop : Untersuchungen eines intermedialen Phänomens</t>
  </si>
  <si>
    <t>Hörner, Fernand</t>
  </si>
  <si>
    <t>The Struggling State : Nationalism, Mass Militarization, and the Education of Eritrea</t>
  </si>
  <si>
    <t>Riggan, Jennifer</t>
  </si>
  <si>
    <t>Biomedical Chemistry : Current Trends and Developments</t>
  </si>
  <si>
    <t>Vale, Nuno</t>
  </si>
  <si>
    <t>Fragment und Gesamtwerk : Relationsbestimmungen in Edition und Interpretation</t>
  </si>
  <si>
    <t>Berning, Matthias</t>
  </si>
  <si>
    <t>Molekulare Identifizierung chiraler Moleküle in der Gasphase mittels Femtosekundenlaserspektrometrie</t>
  </si>
  <si>
    <t>Lux, Christian</t>
  </si>
  <si>
    <t>Klassifikation von Niederspannungsnetzen mit Support Vector Machines</t>
  </si>
  <si>
    <t>Breker, Sebastian</t>
  </si>
  <si>
    <t>Service Engineering Method for Knowledge-Intense Person-Oriented Services</t>
  </si>
  <si>
    <t>Menschner, Philipp</t>
  </si>
  <si>
    <t>Auswirkungen der Netzintegration von Windkraftanlagen auf die Spannungsstabilität im Nördlichen Verbundsystem Chiles</t>
  </si>
  <si>
    <t>Lafferte, Darío</t>
  </si>
  <si>
    <t>Tragfähigkeitsberechnungen für Kehlnähte auf Grundlage experimentell gestützter Werkstoffmodellierung</t>
  </si>
  <si>
    <t>Römer, Wolfgang</t>
  </si>
  <si>
    <t>Nahverkehrstage 2015</t>
  </si>
  <si>
    <t>Institut für Verkehrswesen</t>
  </si>
  <si>
    <t>Landleben mit Zukunft?</t>
  </si>
  <si>
    <t>Röhrig, Carolin</t>
  </si>
  <si>
    <t>Wissenschaft der Synthese – Ein Ansatz zur wissenschaftsphilosophischen Bestimmung der Chemie</t>
  </si>
  <si>
    <t>Frevert, Mareike</t>
  </si>
  <si>
    <t>Die gravierten Messinggrabplatten des 13. und 14.Jahrhunderts im Bereich der norddeutschen Hanse - ihre Herkunft und ihre Bedeutung</t>
  </si>
  <si>
    <t>Wolkewitz, Ursula</t>
  </si>
  <si>
    <t>Disciplinary Technologies of Microfinance Institutions in Bangladesh</t>
  </si>
  <si>
    <t>Hussain, A.H.M. Belayeth</t>
  </si>
  <si>
    <t>Immissionsschutzrechtliche Instrumente</t>
  </si>
  <si>
    <t>Keller, Karsten</t>
  </si>
  <si>
    <t>Chinese Diasporas in Europe</t>
  </si>
  <si>
    <t>Beitrag zur Ermittlung von Eigenspannungen nahe der Streckgrenze mittels mechanischer Prüfmethoden</t>
  </si>
  <si>
    <t>Mirbach, David von</t>
  </si>
  <si>
    <t>Aktives Lernen für Klassifikationsprobleme unter der Nutzung von Strukturinformationen</t>
  </si>
  <si>
    <t>Reitmaier, Tobias</t>
  </si>
  <si>
    <t>Beyond Price : Essays on Birth and Death</t>
  </si>
  <si>
    <t>Vertical Readings in Dante's Comedy : Volume 1</t>
  </si>
  <si>
    <t>Corbett, George</t>
  </si>
  <si>
    <t>A Musicology of Performance : Theory and Method Based on Bach's Solos for Violin</t>
  </si>
  <si>
    <t>Fabian, Dorottya</t>
  </si>
  <si>
    <t>Mr. Emerson's Revolution</t>
  </si>
  <si>
    <t>McClure Mudge, Jean</t>
  </si>
  <si>
    <t>Tellings and Texts : Music, Literature and Performance in North India</t>
  </si>
  <si>
    <t>Orsini, Francesca</t>
  </si>
  <si>
    <t>Cornelius Nepos, Life of Hannibal : Latin Text, Notes, Maps, Illustrations and Vocabulary</t>
  </si>
  <si>
    <t>Mulligan, Bret</t>
  </si>
  <si>
    <t>The Muslim Question in Europe : Political Controversies and Public Philosophies</t>
  </si>
  <si>
    <t>O'Brien, Peter</t>
  </si>
  <si>
    <t>Advanced Problems in Mathematics : Preparing for University</t>
  </si>
  <si>
    <t>Siklos, Stephen</t>
  </si>
  <si>
    <t>Metaethics from a First Person Standpoint : An Introduction to Moral Philosophy</t>
  </si>
  <si>
    <t>Wilson, Catherine</t>
  </si>
  <si>
    <t>The Life of August Wilhelm Schlegel, Cosmopolitan of Art and Poetry</t>
  </si>
  <si>
    <t>Paulin, Roger</t>
  </si>
  <si>
    <t>Everywhere Taksim : Sowing the Seeds for a New Turkey at Gezi</t>
  </si>
  <si>
    <t>David, Isabel</t>
  </si>
  <si>
    <t>Soul of the Documentary : Framing, Expression, Ethics</t>
  </si>
  <si>
    <t>Hongisto, Ilona</t>
  </si>
  <si>
    <t>Breaking down the State : Protestors Engaged</t>
  </si>
  <si>
    <t>Medium, Messenger, Transmission : An Approach to Media Philosophy</t>
  </si>
  <si>
    <t>Krämer, Sybille</t>
  </si>
  <si>
    <t>Mobilizing Labour for the Global Coffee Market : Profits from an Unfree Work Regime in Colonial Java</t>
  </si>
  <si>
    <t>Breman, Jan</t>
  </si>
  <si>
    <t>Ripples of Hope : How Ordinary People Resist Repression Without Violence</t>
  </si>
  <si>
    <t>Press, Robert</t>
  </si>
  <si>
    <t>Seeking Peace in the Wake of War : Europe, 1943-1947</t>
  </si>
  <si>
    <t>Hoffmann, Stefan-Ludwig</t>
  </si>
  <si>
    <t>Spain, China, and Japan in Manila, 1571-1644 : Local Comparisons and Global Connections</t>
  </si>
  <si>
    <t>Tremml-Werner, Birgit</t>
  </si>
  <si>
    <t>Hardware/Software Codesign of Embedded Systems with Reconfigurable and Heterogeneous Platforms</t>
  </si>
  <si>
    <t>Lifa, Adrian Alin</t>
  </si>
  <si>
    <t>Characterizations of As Grown and Functionalized Epitaxial Graphene Grown on SiC Surfaces</t>
  </si>
  <si>
    <t>Xia, Chao</t>
  </si>
  <si>
    <t>Mobile Working Hydraulic System Dynamics</t>
  </si>
  <si>
    <t>Axin, Mikael</t>
  </si>
  <si>
    <t>Regimes of Hospitality : Urban Citizenship Between Participation and Securitization - the Case of the Multiethnic French Banlieue</t>
  </si>
  <si>
    <t>Foultier, Christophe</t>
  </si>
  <si>
    <t>High Temperature Fatigue Crack Growth in a ni-Based Superalloy : Modelling Including the Interaction of Dwell Times</t>
  </si>
  <si>
    <t>Storgärds, Erik</t>
  </si>
  <si>
    <t>Sustainability and Company Performance : Evidence from the Manufacturing Industry</t>
  </si>
  <si>
    <t>Chen, Lujie</t>
  </si>
  <si>
    <t>Stress in Childhood and the Risk of Type 1 Diabetes</t>
  </si>
  <si>
    <t>Nygren, Maria</t>
  </si>
  <si>
    <t>Fängelse, Skola, Uppfostringsanstalt Eller Skyddshem? : Åkerbrukskolonien Hall För Pojkar år 1876-1940</t>
  </si>
  <si>
    <t>Norburg, Ulrika</t>
  </si>
  <si>
    <t>Detection of Apoptosis in Patients with Coronary Artery Disease : Assessment of Temporal Patterns and Potential Sources</t>
  </si>
  <si>
    <t>Szymanowski, Aleksander</t>
  </si>
  <si>
    <t>Cluster Initiatives As Intermediaries : A Study of Their Management and Stakeholders</t>
  </si>
  <si>
    <t>Laur, Inessa</t>
  </si>
  <si>
    <t>Analytical Approximations for Bayesian Inference</t>
  </si>
  <si>
    <t>Ardeshiri, Tohid</t>
  </si>
  <si>
    <t>Poly-And Oligothiophenes : Optical Probes for Multimodal Fluorescent Assessment of Biological Processes</t>
  </si>
  <si>
    <t>Magnusson, Karin</t>
  </si>
  <si>
    <t>Operating Organic Electronics Via Aqueous Electric Double Layers</t>
  </si>
  <si>
    <t>Toss, Henrik</t>
  </si>
  <si>
    <t>Digitalisering I Den Offentliga Förvaltningen : IT, Värden Och Legitimitet</t>
  </si>
  <si>
    <t>Andréasson, Ester</t>
  </si>
  <si>
    <t>Upscaling Organic Electronic Devices</t>
  </si>
  <si>
    <t>Malti, Abdellah</t>
  </si>
  <si>
    <t>Astrocyte Elevated Gene-1 in Relation to Colorectal Cancer Development and Radiotherapy Response</t>
  </si>
  <si>
    <t>Gnosa, Sebastian</t>
  </si>
  <si>
    <t>Evidence-Based Practice in Practice : Exploring Conditions for Using Research in Physiotherapy</t>
  </si>
  <si>
    <t>Dannapfel, Petra</t>
  </si>
  <si>
    <t>Irritable Bowel Syndrome : Studies of Central Pathophysiological Mechanisms and Effects of Treatment</t>
  </si>
  <si>
    <t>Lowén, Mats</t>
  </si>
  <si>
    <t>Energy Based Surgical Instruments : With Particular Focus on Collateral Thermal Injury</t>
  </si>
  <si>
    <t>Carlander, Johan</t>
  </si>
  <si>
    <t>A Class of Infinite Dimensional Stochastic Processes with Unbounded Diffusion and Its Associated Dirichlet Forms</t>
  </si>
  <si>
    <t>Karlsson, John</t>
  </si>
  <si>
    <t>Demographics, Clinical Features and Treatment of Pediatric Celiac Disease</t>
  </si>
  <si>
    <t>Tapsas, Dimitrios</t>
  </si>
  <si>
    <t>Alcohol Consumption During Pregnancy : Prevalence, Predictors and Prevention</t>
  </si>
  <si>
    <t>Skagerström, Janna</t>
  </si>
  <si>
    <t>Asymmetric Oligothiophenes : Chemical Evolution of Multimodal Amyloid Ligands</t>
  </si>
  <si>
    <t>Johansson, Leif B. G.</t>
  </si>
  <si>
    <t>Energy Use As a Consequence of Everyday Life</t>
  </si>
  <si>
    <t>Hellgren, Mattias</t>
  </si>
  <si>
    <t>Anaerobic Digestion of Wastewaters from Pulp and Paper Mills : A Substantial Source for Biomethane Production in Sweden</t>
  </si>
  <si>
    <t>Larsson, Madeleine</t>
  </si>
  <si>
    <t>Lysosomal Network Proteins As Biomarkers and Therapeutic Targets in Neurodegenerative Disease</t>
  </si>
  <si>
    <t>Boman, Andrea</t>
  </si>
  <si>
    <t>Common People : Physical Health, Lifestyle and Quality of Life in Persons with Psychosis and Their Striving to Be Like Everybody Else</t>
  </si>
  <si>
    <t>Wärdig, Rikard</t>
  </si>
  <si>
    <t>Perspectives on Living with Coeliac Disease in Remission : Daily Life Experiences, Symptoms and Well-Being</t>
  </si>
  <si>
    <t>Ring Jacobsson, Lisa</t>
  </si>
  <si>
    <t>Inappropriate Prescribing, Non-Adherence to Long-term Medications and Related Morbidities : Pharmacoepidemiological Aspects</t>
  </si>
  <si>
    <t>Hedna, Khedidja</t>
  </si>
  <si>
    <t>Buyer-Supplier Innovation : Managing Supplier Knowledge in Collaborative Innovation</t>
  </si>
  <si>
    <t>Rosell, David T.</t>
  </si>
  <si>
    <t>The Paradoxes of Socio-Emotional Programmes in School : Young People's Perspectives and Public Health Discourses</t>
  </si>
  <si>
    <t>Kvist Lindholm, Sofia</t>
  </si>
  <si>
    <t>Immune Tolerance by Interferon-Alpha in Experimental Arthritis</t>
  </si>
  <si>
    <t>Chalise, Jaya Prakash</t>
  </si>
  <si>
    <t>Static and Fatigue Failure of Bolted Joints in Hybrid Composite-Aluminium Aircraft Structures</t>
  </si>
  <si>
    <t>Kapidzic, Zlatan</t>
  </si>
  <si>
    <t>Structural Insights into Protein-Protein Interactions Governing Regulation in Transcription Initiation and Ubiquitination</t>
  </si>
  <si>
    <t>Anandapadamanaban, Madhanagopal</t>
  </si>
  <si>
    <t>Modeling of Magnetic Fields and Extended Objects for Localization Applications</t>
  </si>
  <si>
    <t>Wahlström, Niklas</t>
  </si>
  <si>
    <t>Genomics of Chicken Domestication and Feralisation</t>
  </si>
  <si>
    <t>Johnsson, Martin</t>
  </si>
  <si>
    <t>Vadstena Krigsmanshus : En Studie Av Den Svenska Kronans Inrättning För Sårade Och Gamla Soldater Cirka 1640-1780</t>
  </si>
  <si>
    <t>Petersson, Erik</t>
  </si>
  <si>
    <t>Physically Based Rendering of Synthetic Objects in Real Environments</t>
  </si>
  <si>
    <t>Kronander, Joel</t>
  </si>
  <si>
    <t>Improving Care for Patients with Non-Cardiac Chest Pain : Description of Psychological Distress and Costs, and Evaluation of an Internet-Delivered Intervention</t>
  </si>
  <si>
    <t>Mourad, Ghassan</t>
  </si>
  <si>
    <t>Evaluation of the Dual-Modal Usage of Contrast Agents by Means of Synchrotron X-Ray Computed Microtomography and Magnetic Resonance Imaging Using Macrophages Loaded with Barium Sulfate and Gadolinium Nanoparticles for Detection and Monitoring in Animal Di</t>
  </si>
  <si>
    <t>Larsson, Emanuel</t>
  </si>
  <si>
    <t>Neck Disability in Patients with Cervical Radiculopathy and Evaluation of Structured Postoperative Physiotherapy</t>
  </si>
  <si>
    <t>Wibault, Johanna</t>
  </si>
  <si>
    <t>Early Experience, Maternal Care and Behavioural Test Design : Effects on the Temperament of Military Working Dogs</t>
  </si>
  <si>
    <t>Foyer, Pernilla</t>
  </si>
  <si>
    <t>Omställning - Tillväxt - Effektivisering : Energifrågor Vid Renovering Av Flerbostadshus</t>
  </si>
  <si>
    <t>Thoresson, Josefin</t>
  </si>
  <si>
    <t>Contributions to High-Dimensional Analysis under Kolmogorov Condition</t>
  </si>
  <si>
    <t>Pielaszkiewicz, Jolanta Maria</t>
  </si>
  <si>
    <t>Performance in Franchise Systems : The Franchisee Perspective</t>
  </si>
  <si>
    <t>Asgharian Bourkheili, Ehsan</t>
  </si>
  <si>
    <t>Distributed System Simulation Methods : For Model-Based Product Development</t>
  </si>
  <si>
    <t>Braun, Robert</t>
  </si>
  <si>
    <t>Symptom Burden among People with Chronic Disease</t>
  </si>
  <si>
    <t>Eckerblad, Jeanette</t>
  </si>
  <si>
    <t>Computational Studies of Photobiological Keto-Enol Reactions and Chromophores</t>
  </si>
  <si>
    <t>Falklöf, Olle</t>
  </si>
  <si>
    <t>Variation-Aware System Design Simulation Methodology for Capacitive BCC Transceivers</t>
  </si>
  <si>
    <t>Kazim, Muhammad Irfan</t>
  </si>
  <si>
    <t>Cardiac Dysfunction in Septic Shock : Observational Studies on Characteristics and Outcome</t>
  </si>
  <si>
    <t>De Geer, Lina</t>
  </si>
  <si>
    <t>Low-Voltage Analog-To-Digital Converters and Mixed-Signal Interfaces</t>
  </si>
  <si>
    <t>Harikumar, Prakash</t>
  </si>
  <si>
    <t>Vibrations in Solids : From First Principles Lattice Dynamics to High Temperature Phase Stability</t>
  </si>
  <si>
    <t>Shulumba, Nina</t>
  </si>
  <si>
    <t>Optoelectrical Imaging Methods for Organic Photovoltaic Materials and Moduls</t>
  </si>
  <si>
    <t>Bergqvist, Jonas</t>
  </si>
  <si>
    <t>Sexual Behaviour, Debut and Identity among Swedish Schoolchildren</t>
  </si>
  <si>
    <t>Kastbom, Åsa A.</t>
  </si>
  <si>
    <t>On High-Temperature Behaviours of Heat Resistant Austenitic Alloys</t>
  </si>
  <si>
    <t>Calmunger, Mattias</t>
  </si>
  <si>
    <t>Topology Optimization Considering Stress, Fatigue and Load Uncertainties</t>
  </si>
  <si>
    <t>Holmberg, Erik</t>
  </si>
  <si>
    <t>The Impact of Gaze-Based Assistive Technology on Daily Activities in Children with Severe Physical Impairments</t>
  </si>
  <si>
    <t>Borgestig, Maria</t>
  </si>
  <si>
    <t>Cardiac Function and Long-Term Volume Load : Physiological Investigations in Endurance Athletes and in Patients Operated on for Aortic Regurgitation</t>
  </si>
  <si>
    <t>Hedman, Kristofer</t>
  </si>
  <si>
    <t>Shapers, Brokers and Doers : The Dynamic Roles of Non-State Actors in Global Climate Change Governance</t>
  </si>
  <si>
    <t>Nasiritousi, Naghmeh</t>
  </si>
  <si>
    <t>Applications of Human Skin in Vitro</t>
  </si>
  <si>
    <t>Lönnqvist, Susanna</t>
  </si>
  <si>
    <t>Strong Partial Clones and the Complexity of Constraint Satisfaction Problems : Limitations and Applications</t>
  </si>
  <si>
    <t>Lagerkvist, Victor</t>
  </si>
  <si>
    <t>An Informed System Development Approach to Tropical Cyclone Track and Intensity Forecasting</t>
  </si>
  <si>
    <t>Roy, Chandan</t>
  </si>
  <si>
    <t>Balancing Body Perception During Growth and Development</t>
  </si>
  <si>
    <t>van Vliet, Jolanda S.</t>
  </si>
  <si>
    <t>Challenges in Experimental Stroke Research : The 17&amp;beta</t>
  </si>
  <si>
    <t>Micro-Photoluminescence and Micro-Raman Spectroscopy of Novel Semiconductor Nanostructures</t>
  </si>
  <si>
    <t>Filippov, Stanislav</t>
  </si>
  <si>
    <t>Support in School and the Occupational Transition Process : Adolescents and Young Adults with Neuropsychiatric Disabilities</t>
  </si>
  <si>
    <t>Bolic Baric, Vedrana</t>
  </si>
  <si>
    <t>Students' Perspectives on Bullying</t>
  </si>
  <si>
    <t>Forsberg, Camilla</t>
  </si>
  <si>
    <t>Security-Driven Design of Real-Time Embedded Systems</t>
  </si>
  <si>
    <t>Jiang, Ke</t>
  </si>
  <si>
    <t>Structure and Stability of Ecological Networks : The Role of Dynamic Dimensionality and Species Variability in Resource Use</t>
  </si>
  <si>
    <t>Gilljam, David</t>
  </si>
  <si>
    <t>A Biopsychosocial and Long Term Perspective on Child Behavioral Problems : Impact of Risk and Resilience</t>
  </si>
  <si>
    <t>Agnafors, Sara</t>
  </si>
  <si>
    <t>X-Ray Spectroscopies Through Damped Linear Response Theory</t>
  </si>
  <si>
    <t>Fransson, Thomas</t>
  </si>
  <si>
    <t>Efficient Integrated Circuits for Wideband Wireless Transceivers</t>
  </si>
  <si>
    <t>Duong, Quoc-Tai</t>
  </si>
  <si>
    <t>New Frontiers of Slavery</t>
  </si>
  <si>
    <t>Tomich, Dale W.</t>
  </si>
  <si>
    <t>Cooperation and Conflict the Nordic Way : Work, Welfare, and Institutional Change in Scandinavia</t>
  </si>
  <si>
    <t>Engelstad, Fredrik</t>
  </si>
  <si>
    <t>Translating Chinese Tradition and Teaching Tangut Culture : Manuscripts and Printed Books from Khara-Khoto</t>
  </si>
  <si>
    <t>Galambos, Imre</t>
  </si>
  <si>
    <t>Intersex Narratives : Shifts in the Representation of Intersex Lives in North American Literature and Popular Culture</t>
  </si>
  <si>
    <t>(verst.), Viola Amato</t>
  </si>
  <si>
    <t>Moral Economies of Corruption : State Formation and Political Culture in Nigeria</t>
  </si>
  <si>
    <t>Pierce, Steven</t>
  </si>
  <si>
    <t>A Century of Violence in a Red City : Popular Struggle, Counterinsurgency, and Human Rights in Colombia</t>
  </si>
  <si>
    <t>Gill, Lesley</t>
  </si>
  <si>
    <t>Making Refuge : Somali Bantu Refugees and Lewiston, Maine</t>
  </si>
  <si>
    <t>Besteman, Catherine</t>
  </si>
  <si>
    <t>Gesture and Power : Religion, Nationalism, and Everyday Performance in Congo</t>
  </si>
  <si>
    <t>Covington-Ward, Yolanda</t>
  </si>
  <si>
    <t>Negro Soy Yo : Hip Hop and Raced Citizenship in Neoliberal Cuba</t>
  </si>
  <si>
    <t>Perry, Marc D.</t>
  </si>
  <si>
    <t>Slavery in the Circuit of Sugar, Second Edition : Martinique and the World-Economy, 1830-1848</t>
  </si>
  <si>
    <t>Das Siebenstromland Zwischen Bronze- und Früheisenzeit : Eine Regionalstudie</t>
  </si>
  <si>
    <t>Gass, Anton</t>
  </si>
  <si>
    <t>The Collapse of Time : The Martyrdom of Diego Ortiz (1571) by Antonio de la Calancha [1638]</t>
  </si>
  <si>
    <t>Redden, Andrew</t>
  </si>
  <si>
    <t>Insight into Theoretical and Applied Informatics : Introduction to Information Technologies and Computer Science</t>
  </si>
  <si>
    <t>Yatsko, Andrzej</t>
  </si>
  <si>
    <t>Formulation in Action : Applying Psychological Theory to Clinical Practice</t>
  </si>
  <si>
    <t>Dawson, David</t>
  </si>
  <si>
    <t>Frieden Schaffen und Sich Verteidigen Im Spätmittelalter : Faire la Paix et Se défendre à la Fin du Moyen Âge</t>
  </si>
  <si>
    <t>Naegle, Gisela</t>
  </si>
  <si>
    <t>Spätmittelalterliche Heroldskompendien : Referenzen Adeliger Wissenskultur in Zeiten Gesellschaftlichen Wandels (Frankreich und Burgund, 15. Jahrhundert)</t>
  </si>
  <si>
    <t>American Politics and the Environment, Second Edition</t>
  </si>
  <si>
    <t>Daynes, Byron W.</t>
  </si>
  <si>
    <t>Art Beyond Borders : Artistic Exchange in Communist Europe (1945-1989)</t>
  </si>
  <si>
    <t>Bazin, Jérôme</t>
  </si>
  <si>
    <t>A Contemporary History of Exclusion : The Roma Issue in Hungary from 1945 To 2015</t>
  </si>
  <si>
    <t>Majtényi, Balázs</t>
  </si>
  <si>
    <t>Remembrance, History, and Justice : Coming to Terms with Traumatic Pasts in Democratic Societies</t>
  </si>
  <si>
    <t>Das Berliner TransitionsProgramm : Sektorübergreifendes Strukturprogramm Zur Transition in Die Erwachsenenmedizin</t>
  </si>
  <si>
    <t>Findorff, Jana</t>
  </si>
  <si>
    <t>Variation Im Europäischen Kontrast : Untersuchungen Zum Satzanfang Im Deutschen, Französischen, Norwegischen, Polnischen und Ungarischen</t>
  </si>
  <si>
    <t>Dalmas, Martine</t>
  </si>
  <si>
    <t>Cold War Anthropology : The CIA, the Pentagon, and the Growth of Dual Use Anthropology</t>
  </si>
  <si>
    <t>Price, David H.</t>
  </si>
  <si>
    <t>Sexual States : Governance and the Struggle over the Antisodomy Law in India</t>
  </si>
  <si>
    <t>Puri, Jyoti</t>
  </si>
  <si>
    <t>Metroimperial Intimacies : Fantasy, Racial-Sexual Governance, and the Philippines in U. S. Imperialism, 1899-1913</t>
  </si>
  <si>
    <t>Mendoza, Victor Román</t>
  </si>
  <si>
    <t>Judaism As Philosophy : Studies in Maimonides and the Medieval Jewish Philosophers of Provence</t>
  </si>
  <si>
    <t>Kreisel, Howard</t>
  </si>
  <si>
    <t>The Translator's Doubts : Vladimir Nabokov and the Ambiguity of Translation</t>
  </si>
  <si>
    <t>Trubikhina, Julia</t>
  </si>
  <si>
    <t>First Words : On Dostoevsky's Introductions</t>
  </si>
  <si>
    <t>Bagby, Lewis</t>
  </si>
  <si>
    <t>Erlösung durch Vernichtung?! : Religion und Weltanschauung im Videospiel - Eine explorative Studie zu religiösen und weltanschaulichen Ansichten junger Spieleentwickler</t>
  </si>
  <si>
    <t>Piasecki, Stefan</t>
  </si>
  <si>
    <t>Vorhersage der Prognosegüte verschieden großer Windpark-Portfolios</t>
  </si>
  <si>
    <t>Dobschinski, Jan</t>
  </si>
  <si>
    <t>Handelsstrategien für Rohstoff-Futures : Technische Analyse und der Commitments of Traders Report</t>
  </si>
  <si>
    <t>Kalckreuth, Cornelius von der Heydt-von</t>
  </si>
  <si>
    <t>Ultra-High Performance Concrete and High Performance Construction Materials : Proceedings of HiPerMat 2016 4th International Symposium on Ultra-High Performance Concrete and High Performance Materials Kassel, March 9-11, 2016</t>
  </si>
  <si>
    <t>Design Principles for the Productive Delivery of Blended Learning Services : The Case of Standard Software-Trainings in Germany</t>
  </si>
  <si>
    <t>Bitzer, Philipp</t>
  </si>
  <si>
    <t>KaSyCo – Kategoriensysteme zur Analyse von Coachingprozessen</t>
  </si>
  <si>
    <t>Deplazes, Silvia</t>
  </si>
  <si>
    <t>We Shall Not Be Moved/No Nos Moveran : Biography of a Song of Struggle</t>
  </si>
  <si>
    <t>Spener, David</t>
  </si>
  <si>
    <t>Dalit Studies</t>
  </si>
  <si>
    <t>Rawat, Ramnarayan S.</t>
  </si>
  <si>
    <t>Die Jugend des Dionysos : Die Ampelos-Episode in Den Dionysiaka des Nonnos Von Panopolis</t>
  </si>
  <si>
    <t>Kröll, Nicole</t>
  </si>
  <si>
    <t>Melchizedek Passages in the Bible : A Case Study for Inner-Biblical and Inter-Biblical Interpretation</t>
  </si>
  <si>
    <t>Alan KamYau, Chan</t>
  </si>
  <si>
    <t>Religion As a Philosophical Matter : Concerns about Truth, Name, and Habitation</t>
  </si>
  <si>
    <t>Albinus, Lars</t>
  </si>
  <si>
    <t>The Eurasian Triangle : Russia, the Caucasus and Japan, 1904-1945</t>
  </si>
  <si>
    <t>Kuromiya, Hiroaki</t>
  </si>
  <si>
    <t>Teaching Mathematics at Secondary Level</t>
  </si>
  <si>
    <t>Gardiner, Tony</t>
  </si>
  <si>
    <t>Knowledge and the Norm of Assertion : An Essay in Philosophical Science</t>
  </si>
  <si>
    <t>Turri, John</t>
  </si>
  <si>
    <t>The Universal Declaration of Human Rights in the 21st Century : A Living Document in a Changing World</t>
  </si>
  <si>
    <t>Brown, Gordon</t>
  </si>
  <si>
    <t>Beschreibung von wiederverwendbaren Prozessen zur Erreichung von Lernzielen in Serious Games : Eine Modellierungssprache und Patterns</t>
  </si>
  <si>
    <t>Hirdes, Eike</t>
  </si>
  <si>
    <t>Beratung als Basis erfolgreicher Partizipation Partizipative Energiesysteme in Nordhessen : Eine Fallstudie</t>
  </si>
  <si>
    <t>Bayer, Kristina</t>
  </si>
  <si>
    <t>Link Mining and Localisation in the Context of Face-to-Face Contact Networks</t>
  </si>
  <si>
    <t>Scholz, Christoph</t>
  </si>
  <si>
    <t>Leistungsfähigkeit der Ultra-Low-Pressure-Ultrafiltration (ULPUF) zur dezentralen Wasseraufbereitung in Not- und Katastrophenfällen</t>
  </si>
  <si>
    <t>Exler, Harald</t>
  </si>
  <si>
    <t>Erprobung und Optimierung eines einfachen Membranfiltrationsgerätes zur Aufbereitung von trinkbarem Wasser aus Oberflächengewässern für kleine Personengruppen in Notsituationen ohne Fremdenergie (3. Phase) mit dem Ziel der Serienreife</t>
  </si>
  <si>
    <t>Frechen, Franz-Bernd</t>
  </si>
  <si>
    <t>Frohes Schaffen!? - Arbeit in der Landwirtschaft : Dokumentationsband der 23. Witzenhäuser Konferenz 1. bis 5. Dezember 2015</t>
  </si>
  <si>
    <t>Landwirtschaft, Projektgruppe Frohes Schaffen Arbeit in der</t>
  </si>
  <si>
    <t>Heterogenität in pädagogischen Handlungsfeldern : Perspektiven. Befunde. Konzeptionelle Ansätze</t>
  </si>
  <si>
    <t>Engineering Tool Supported Collaboration Processes for Web-based Platforms : ldea Elaboration in Virtual Ideation Communities</t>
  </si>
  <si>
    <t>Kipp, Philipp</t>
  </si>
  <si>
    <t>Diaspora and Trust : Cuba, Mexico, and the Rise of China</t>
  </si>
  <si>
    <t>Hearn, Adrian H.</t>
  </si>
  <si>
    <t>Disciplinary Conquest : U. S. Scholars in South America, 1900-1945</t>
  </si>
  <si>
    <t>Salvatore, Ricardo D.</t>
  </si>
  <si>
    <t>Variance in Arabic Manuscripts : Arabic Didactic Poems from the Eleventh to the Seventeenth Centuries - Analysis of Textual Variance and Its Control in the Manuscripts</t>
  </si>
  <si>
    <t>Sobieroj, Florian</t>
  </si>
  <si>
    <t>Innover Avec les Acteurs du Monde Rural : La Recherche-Action en Partenariat</t>
  </si>
  <si>
    <t>Faure, Guy</t>
  </si>
  <si>
    <t>Le Cotonnier</t>
  </si>
  <si>
    <t>Crétenet, Michel</t>
  </si>
  <si>
    <t>Développement Durable et Filières Tropicales</t>
  </si>
  <si>
    <t>Biénabe, Estelle</t>
  </si>
  <si>
    <t>Émergence de Maladies Infectieuses : Risques et Enjeux de Société</t>
  </si>
  <si>
    <t>Les Services écosystémiques : Repenser les Relations Nature et Société</t>
  </si>
  <si>
    <t>Méral, Philippe</t>
  </si>
  <si>
    <t>Faune Sauvage, Biodiversité et Santé, Quels Défis ?</t>
  </si>
  <si>
    <t>Green Voices : Defending Nature and the Environment in American Civic Discourse</t>
  </si>
  <si>
    <t>Besel, Richard D.</t>
  </si>
  <si>
    <t>Galeni in Hippocratis Epidemiarum Librum II Commentariorum I-III Versio Arabica</t>
  </si>
  <si>
    <t>Galeni in Hippocratis Epidemiarum Librum II Commentariorum IV-VI Versio Arabica et Indices</t>
  </si>
  <si>
    <t>Dostoevsky Beyond Dostoevsky : Science, Religion, Philosophy</t>
  </si>
  <si>
    <t>Golstein, Vladimir</t>
  </si>
  <si>
    <t>Learning to Read Talmud : What It Looks Like and How It Happens</t>
  </si>
  <si>
    <t>Kanarek, Jane L.</t>
  </si>
  <si>
    <t>Under the Shadow of the Rising Sun : Japan and the Jews During the Holocaust Era (Lectures from the Broadcast University of Israel Army Radio)</t>
  </si>
  <si>
    <t>Medzini, Meron</t>
  </si>
  <si>
    <t>La Conservation des Grains Après Récolte</t>
  </si>
  <si>
    <t>Ovid, Amores (Book 1)</t>
  </si>
  <si>
    <t>Turpin, William</t>
  </si>
  <si>
    <t>Verdi in Victorian London</t>
  </si>
  <si>
    <t>Zicari, Massimo</t>
  </si>
  <si>
    <t>Intellectual Property and Public Health in the Developing World</t>
  </si>
  <si>
    <t>Azam, Monirul</t>
  </si>
  <si>
    <t>The Environment in the Age of the Internet : Activists, Communication, and the Digital Landscape</t>
  </si>
  <si>
    <t>Graf, Heike</t>
  </si>
  <si>
    <t>Denis Diderot 'Rameau's Nephew' - 'le Neveu de Rameau' : A Multi-Media Bilingual Edition</t>
  </si>
  <si>
    <t>Political Landscapes of Capital Cities</t>
  </si>
  <si>
    <t>Christie, Jessica Joyce</t>
  </si>
  <si>
    <t>Metatexte : Erzählungen Von Schrifttragenden Artefakten in der Alttestamentlichen und Mittelalterlichen Literatur</t>
  </si>
  <si>
    <t>Focken, Friedrich-Emanuel</t>
  </si>
  <si>
    <t>Genocide : New Perspectives on Its Causes, Courses and Consequences</t>
  </si>
  <si>
    <t>Üngör, Ugur</t>
  </si>
  <si>
    <t>Human Rights Standards : Hegemony, Law, and Politics</t>
  </si>
  <si>
    <t>Mutua, Makau</t>
  </si>
  <si>
    <t>Tracing Manuscripts in Time and Space Through Paratexts : Perspectives from Paratexts</t>
  </si>
  <si>
    <t>Praxistheorie : Ein soziologisches Forschungsprogramm</t>
  </si>
  <si>
    <t>Schäfer, Hilmar</t>
  </si>
  <si>
    <t>Vom Verteilen zum Gestalten : Geschichte der betrieblichen Mitbestimmung in der westdeutschen Automobilindustrie nach 1945</t>
  </si>
  <si>
    <t>Owetschkin, Dimitrij</t>
  </si>
  <si>
    <t>BRIC-Investitionen in Deutschland : Chancen und Risiken für Unternehmen und Arbeitnehmer</t>
  </si>
  <si>
    <t>Franz, Martin</t>
  </si>
  <si>
    <t>Lieselott Herforth : Die erste Rektorin einer deutschen Universität</t>
  </si>
  <si>
    <t>Voss, Waltraud</t>
  </si>
  <si>
    <t>Netzintegration großer Leistungen erneuerbarer Energien durch Kraft-Wärme-Kopplung mit thermischer Energiespeicherung</t>
  </si>
  <si>
    <t>Schmidla, Tim</t>
  </si>
  <si>
    <t>DaZ-Kurse im geschlossenen Strafvollzug : Eine Longitudinalstudie über die Rolle von Motivationen und Orientierungen sowie ihrer Wechselwirkungen mit anderen internen und externen Einflussfaktoren beim Zweitsprachenerwerb russischsprachiger Inhaftierter in der Justizvollzugsanstalt Kassel I</t>
  </si>
  <si>
    <t>Davydova, Yulia</t>
  </si>
  <si>
    <t>Wertstoffhof - Chancen, Entwicklungen,… (2016)</t>
  </si>
  <si>
    <t>Veränderte Anforderungen an die Rechtsanwendung durch die Umsetzung vollharmonisierender Richtlinien : Eine Analyse am Beispiel aktueller Probleme aus dem Recht für besondere Vertriebsformen</t>
  </si>
  <si>
    <t>Riexinger, Fabian</t>
  </si>
  <si>
    <t>Deutsche Mitbestimmung als Erfolgsfaktor der Automobilindustrie im internationalen Vergleich</t>
  </si>
  <si>
    <t>Geffers, Jennifer Sarah</t>
  </si>
  <si>
    <t>Nachverkehrs-Tage 2015 : Nahverkehr und Freizeit: Neue Kunden durch innovative Konzepte gewinnen</t>
  </si>
  <si>
    <t>Geschäftliche Dialogführung im französischen Messebau : Eine pragmatische Analyse zur Ermittlung von Gesprächsstrategien im Business-to-Business-Bereich</t>
  </si>
  <si>
    <t>Kadenbach, Dorothea</t>
  </si>
  <si>
    <t>Theory of Inquiry Learning Arrangements : Research, Reflection, and Implementation</t>
  </si>
  <si>
    <t>Reitinger, Johannes</t>
  </si>
  <si>
    <t>Software-Ergonomie in der Gefährdungsbeurteilung : Eine arbeitswissenschaftliche Untersuchung zur Ermittlung von psychischer Belastung und von Ressourcen an Bildschirmarbeitsplätzen im Bürobereich im Rahmen der Gefährdungsbeurteilung nach dem Arbeitsschutzgesetz</t>
  </si>
  <si>
    <t>Dietrich, Werner</t>
  </si>
  <si>
    <t>Affekte und Kommunikation in ausgewählten Spielen : Eine empirische und experimentelle Analyse</t>
  </si>
  <si>
    <t>Ihtiyar, Özcan</t>
  </si>
  <si>
    <t>Statistische Modellierungen zur Schätzung genetischer Parameter für das Merkmal Vielseitigkeit beim Deutschen Reitpferd</t>
  </si>
  <si>
    <t>Frevert, Henning</t>
  </si>
  <si>
    <t>Women in the Ancient near East</t>
  </si>
  <si>
    <t>Stol, Marten</t>
  </si>
  <si>
    <t>Germanistik in Wien : Das Seminar Für Deutsche Philologie und Seine Privatdozentinnen (1897-1933)</t>
  </si>
  <si>
    <t>Grabenweger, Elisabeth</t>
  </si>
  <si>
    <t>American Sociology and Holocaust Studies : The Alleged Silence and the Creation of the Sociological Delay</t>
  </si>
  <si>
    <t>Messina, Adele Valeria</t>
  </si>
  <si>
    <t>Novel Medicine : Healing, Literature, and Popular Knowledge in Early Modern China</t>
  </si>
  <si>
    <t>Schonebaum, Andrew</t>
  </si>
  <si>
    <t>Nouvelles Raisons d'agir des Acteurs de la Pêche et de L'agriculture</t>
  </si>
  <si>
    <t>Merri, Maryvonne</t>
  </si>
  <si>
    <t>Stable High Order Finite Difference Methods for Wave Propagation and Flow Problems on Deforming Domains</t>
  </si>
  <si>
    <t>Nikkar, Samira</t>
  </si>
  <si>
    <t>Physical Activity in Patients with Heart Failure : Motivations, Self-Efficacy and the Potential of Exergaming</t>
  </si>
  <si>
    <t>Klompstra, Leonie</t>
  </si>
  <si>
    <t>One Anterior Cruciate Ligament Injury Is Enough! : Focus on Female Football Players</t>
  </si>
  <si>
    <t>Fältström, Anne</t>
  </si>
  <si>
    <t>Permanence of Age-Structured Populations in a Spatio-temporal Variable Environment</t>
  </si>
  <si>
    <t>Radosavljevic, Sonja</t>
  </si>
  <si>
    <t>On a Need to Know Basis : A Conceptual and Methodological Framework for Modelling and Analysis of Information Demand in an Enterprise Context</t>
  </si>
  <si>
    <t>Jandinger, Magnus</t>
  </si>
  <si>
    <t>Inducing Large-Scale Diffusion of Innovation : An Integrated Actor- and System-Level Approach</t>
  </si>
  <si>
    <t>Mignon, Ingrid</t>
  </si>
  <si>
    <t>Fucoidan-Mimetic Glycopolymers : Synthesis and Biomedical Applications</t>
  </si>
  <si>
    <t>Tengdelius, Mattias</t>
  </si>
  <si>
    <t>Postmodern Crises : From Lolita to Pussy Riot</t>
  </si>
  <si>
    <t>Die Luxemburger Mehrsprachigkeit : Ergebnisse einer Volkszählung</t>
  </si>
  <si>
    <t>Fehlen, Fernand</t>
  </si>
  <si>
    <t>Facets of Facebook : Use and Users</t>
  </si>
  <si>
    <t>Knautz, Kathrin</t>
  </si>
  <si>
    <t>Genre und Gemeinsinn : Hollywood Zwischen Krieg und Demokratie</t>
  </si>
  <si>
    <t>Kappelhoff, Hermann</t>
  </si>
  <si>
    <t>A Comprehensive Analysis of Optimal Link Scheduling for Emptying a Wireless Network</t>
  </si>
  <si>
    <t>He, Qing</t>
  </si>
  <si>
    <t>Theatre and War : Notes from the Field</t>
  </si>
  <si>
    <t>Dinesh, Nandita</t>
  </si>
  <si>
    <t>Digital Scholarly Editing : Theories and Practices</t>
  </si>
  <si>
    <t>Driscoll, Matthew James</t>
  </si>
  <si>
    <t>Ovid, Metamorphoses, 3. 511-733 : Latin Text with Introduction, Commentary, Glossary of Terms, Vocabulary Aid and Study Questions</t>
  </si>
  <si>
    <t>Piety in Pieces : How Medieval Readers Customized Their Manuscripts</t>
  </si>
  <si>
    <t>Rudy, Kathryn M.</t>
  </si>
  <si>
    <t>Unraveling Mechanisms of Insulin Resistance in Type 2 Diabetes in Human Adipocytes : Role of extracellular Signal Regulated Kinase 1/2 (ERK1/2) and forkhead Box Protein 01 (FOX01)</t>
  </si>
  <si>
    <t>Rohini Rajan, Meenu</t>
  </si>
  <si>
    <t>Distributed Cognition in Home Environments : The Prospective Memory and Cognitive Practices of Older Adults</t>
  </si>
  <si>
    <t>Forsblad (Kristiansson), Mattias</t>
  </si>
  <si>
    <t>Novel Layered and 2D Materials for Functionality Enhancement of Contacts and Gas Sensors</t>
  </si>
  <si>
    <t>Fashandi, Hossein</t>
  </si>
  <si>
    <t>Population, Providence and Empire : The Churches and Emigration from Nineteenth-Century Ireland</t>
  </si>
  <si>
    <t>Roddy, Sarah</t>
  </si>
  <si>
    <t>Human Remains and Mass Violence : Methodological Approaches</t>
  </si>
  <si>
    <t>Dreyfus, Jean-Marc</t>
  </si>
  <si>
    <t>Lipoproteomics : Environmental and Genetic Factors Affecting High-Density Lipoprotein (HDL)</t>
  </si>
  <si>
    <t>Ljunggren, Stefan</t>
  </si>
  <si>
    <t>The normative basis of forest utilization and conversion : A multi-site case study in the Lore Lindu National Park region, Central Sulawesi, Indonesia</t>
  </si>
  <si>
    <t>Ebersberger, Sylvia</t>
  </si>
  <si>
    <t>Fahrdynamikregelung für ein einachsiges Elektrofahrzeug</t>
  </si>
  <si>
    <t>Oborowski, Paul</t>
  </si>
  <si>
    <t>Ein Beitrag zur Optimierung der Projektsteuerung von Neuproduktprojekten</t>
  </si>
  <si>
    <t>Feustel, Florian</t>
  </si>
  <si>
    <t>Transnational Black Dialogues : Re-Imagining Slavery in the Twenty-First Century</t>
  </si>
  <si>
    <t>Nehl, Markus</t>
  </si>
  <si>
    <t>Man or Monster? : The Trial of a Khmer Rouge Torturer</t>
  </si>
  <si>
    <t>Hinton, Alexander Laban</t>
  </si>
  <si>
    <t>The Influence of Lysozyme and Oligothiophenes on Amyloid-&amp;beta</t>
  </si>
  <si>
    <t>Enhancing Salient Features in Volumetric Data Using Illumination and Transfer Functions</t>
  </si>
  <si>
    <t>Jönsson, Daniel</t>
  </si>
  <si>
    <t>Lenin and the Making of the Soviet State : A Brief History with Documents</t>
  </si>
  <si>
    <t>Palgrave Macmillan US</t>
  </si>
  <si>
    <t>Palgrave Macmillan</t>
  </si>
  <si>
    <t>The Poetry of Hanshan (Cold Mountain), Shide, and Fenggan</t>
  </si>
  <si>
    <t>Rouzer, Paul</t>
  </si>
  <si>
    <t>Materiality of Writing in Early Mesopotamia</t>
  </si>
  <si>
    <t>Balke, Thomas E.</t>
  </si>
  <si>
    <t>Development of Zinc Oxide Piezoelectric Nanogenerators for Low Frequency Applications</t>
  </si>
  <si>
    <t>Satti Nour, Eiman</t>
  </si>
  <si>
    <t>Aspects of the Pre-Diabetic Period in Type 1 Diabetes</t>
  </si>
  <si>
    <t>Åkerman, Linda</t>
  </si>
  <si>
    <t>Assessment of Microvascular and Metabolic Responses in the Skin</t>
  </si>
  <si>
    <t>Iredahl, Fredrik</t>
  </si>
  <si>
    <t>The Corporate Social Responsibility (CSR) Approach As a Framework for Business Involvement in Health Promotion in the Welfare State</t>
  </si>
  <si>
    <t>Monachino, Michelle Sara</t>
  </si>
  <si>
    <t>Tinnitus in Patients with Sensorineural Hearing Loss : Management, Quality of Life and Treatment Strategies</t>
  </si>
  <si>
    <t>Zarenoe, Reza</t>
  </si>
  <si>
    <t>Filtration Materials for Groundwater : A Guide to Good Practice</t>
  </si>
  <si>
    <t>Kozyatnyk, Ivan</t>
  </si>
  <si>
    <t>(un)bearable Freedom : Exploring the Becoming of the Artist in Education, Work and Family Life</t>
  </si>
  <si>
    <t>Lindström, Sofia</t>
  </si>
  <si>
    <t>Learning As a Patient : What and How Individuals Want to Learn When Preparing for Surgery, and the Potential Use of Serious Games in Their Education</t>
  </si>
  <si>
    <t>Ingadóttir, Brynja</t>
  </si>
  <si>
    <t>Disease-Specific Survival in Prostate Cancer Patients : Results from the Scandinavian Prostate Cancer Group (SPCG) Trial No. 5 and Regional Cancer Register Data</t>
  </si>
  <si>
    <t>Klaff, Rami</t>
  </si>
  <si>
    <t>Stand-by-Betrieb von Maschinen und Anlagen : Entwicklung eines Stand-by-Managers zur energieeffizienten Produktionssteuerung</t>
  </si>
  <si>
    <t>Goy, Simon</t>
  </si>
  <si>
    <t>Methoden und Werkzeuge für die Entwicklung von Software im Kontext verteilter Ausführung</t>
  </si>
  <si>
    <t>Koch, Andreas</t>
  </si>
  <si>
    <t>Dörfliche Erwerbs- und Nutzungsorientierungen : (Mitte 17. bis Anfang 19. Jahrhundert) Bausteine zu einem überregionalen Vergleich</t>
  </si>
  <si>
    <t>Ebert, Jochen</t>
  </si>
  <si>
    <t>Interference Mitigation with Selective Retransmissions in Wireless Sensor Networks</t>
  </si>
  <si>
    <t>Selig, Marc</t>
  </si>
  <si>
    <t>Der Beitrag von Supervision zur Stärkung von Resilienz in der Jugendhilfe : Eine empirische Untersuchung der Risikofaktoren für Arbeitnehmer/-innen und Organisationen der Jugendhilfe, sowie der Steigerung psychischer Widerstandsfähigkeit durch Supervision</t>
  </si>
  <si>
    <t>Winkens, Herbert</t>
  </si>
  <si>
    <t>Mariners’ Adaptive Performance under Stress : Individual Visual Performance and Team Safety Performance as Indicators of Adaptive Responses to Task-Integral Cognitive and Affective Workload during a Complex Ship Management Task</t>
  </si>
  <si>
    <t>Athanassiou, Georgios</t>
  </si>
  <si>
    <t>Auf dem Weg zum Museum : Sammlung und Präsentation antiker Kunst an deutschen Fürstenhöfen des 18. Jahrhunderts</t>
  </si>
  <si>
    <t>Joachimides, Alexis</t>
  </si>
  <si>
    <t>Thinking Literature Across Continents</t>
  </si>
  <si>
    <t>Ghosh, Ranjan</t>
  </si>
  <si>
    <t>Alternative Pathways to Complexity : A Collection of Essays on Architecture, Economics, Power, and Cross-Cultural Analysis</t>
  </si>
  <si>
    <t>Fargher, Lane F.</t>
  </si>
  <si>
    <t>We Dream Together : Dominican Independence, Haiti, and the Fight for Caribbean Freedom</t>
  </si>
  <si>
    <t>Eller, Anne</t>
  </si>
  <si>
    <t>Rational Design of Next-Generation Nanomaterials and Nanodevices for Water Applications</t>
  </si>
  <si>
    <t>Wang, Peng</t>
  </si>
  <si>
    <t>Taut Strings and Real Interpolation</t>
  </si>
  <si>
    <t>Setterqvist, Eric</t>
  </si>
  <si>
    <t>The Role of the Androgen Receptor and Hydroxysteroid 17&amp;beta</t>
  </si>
  <si>
    <t>Aspects of Inflammation, Angiogenesis and Coagulation in Preeclampsia</t>
  </si>
  <si>
    <t>Boij, Roland</t>
  </si>
  <si>
    <t>Growth and Mechanical Properties of Transition Metal Nitrides and Carbides</t>
  </si>
  <si>
    <t>Edström, Daniel</t>
  </si>
  <si>
    <t>Study of GaN Based Nanostructures and Hybrids</t>
  </si>
  <si>
    <t>Forsberg, Mathias</t>
  </si>
  <si>
    <t>Landfill Mining : Institutional Challenges for the Implementation of Resource Extraction from Waste Deposits</t>
  </si>
  <si>
    <t>Johansson, Nils</t>
  </si>
  <si>
    <t>Neck Muscle Function in Individuals with Persistent Pain and Disability after Whiplash Injury</t>
  </si>
  <si>
    <t>Peterson, Gunnel</t>
  </si>
  <si>
    <t>Technology Transfer Within Related Offset Business : From an Aircraft Production Perspective</t>
  </si>
  <si>
    <t>Malm, Anna</t>
  </si>
  <si>
    <t>Structural and Electronic Properties of Graphene on 4H- And 3C-SiC</t>
  </si>
  <si>
    <t>Bouhafs, Chamseddine</t>
  </si>
  <si>
    <t>Studies on Interfaces Between Primary and Secondary Hemostasis</t>
  </si>
  <si>
    <t>Boknäs, Niklas</t>
  </si>
  <si>
    <t>Les Maladies émergentes : Zika, Ébola, Chikungunya... Comprendre Ces Infections et les Prévenir Au Quotidien</t>
  </si>
  <si>
    <t>Braly, Jean-Philippe</t>
  </si>
  <si>
    <t>Austerity and the Labor Movement</t>
  </si>
  <si>
    <t>Schiavone, Michael</t>
  </si>
  <si>
    <t>An Aqueous Territory : Sailor Geographies and New Granada's Transimperial Greater Caribbean World</t>
  </si>
  <si>
    <t>Bassi, Ernesto</t>
  </si>
  <si>
    <t>New Countries : Capitalism, Revolutions, and Nations in the Americas, 1750-1870</t>
  </si>
  <si>
    <t>Tutino, John</t>
  </si>
  <si>
    <t>Computational Design of Molecular Motors and Excited-State Studies of Organic Chromophores</t>
  </si>
  <si>
    <t>Oruganti, Baswanth</t>
  </si>
  <si>
    <t>Self-Doped Conjugated Polyelectrolytes for Bioelectronics Applications</t>
  </si>
  <si>
    <t>Zeglio, Erica</t>
  </si>
  <si>
    <t>Chicken Domestication : Effects of Tameness on Brain Gene Expression and DNA Methylation</t>
  </si>
  <si>
    <t>Bélteky, Johan</t>
  </si>
  <si>
    <t>Numerical Methods for Wave Propagation in Solids Containing Faults and Fluid-Filled Fractures</t>
  </si>
  <si>
    <t>O'Reilly, Ossian</t>
  </si>
  <si>
    <t>Making Death Matter : A Feminist Technoscience Study of Alzheimer's Sciences in the Laboratory</t>
  </si>
  <si>
    <t>Mehrabi, Tara</t>
  </si>
  <si>
    <t>Mechanisms Behind Illness-Induced Anorexia</t>
  </si>
  <si>
    <t>Nilsson, Anna</t>
  </si>
  <si>
    <t>Children with Orofacial Clefts : Dental Caries and Health-Related Quality of Life</t>
  </si>
  <si>
    <t>Sundell, Anna Lena</t>
  </si>
  <si>
    <t>Digital Intimacies : Doing Digital Media Differently</t>
  </si>
  <si>
    <t>Sadowski, Helga</t>
  </si>
  <si>
    <t>Aircraft Systems Conceptual Design : An Object-Oriented Approach from To</t>
  </si>
  <si>
    <t>Staack, Ingo</t>
  </si>
  <si>
    <t>Optical and Structural Characterization of Natural Nanostructures</t>
  </si>
  <si>
    <t>del Río, Lía Fernández</t>
  </si>
  <si>
    <t>Victimization, Prevalence, Health and Peritraumatic Reactions in Swedish Adolescents</t>
  </si>
  <si>
    <t>Aho, Nikolas</t>
  </si>
  <si>
    <t>Queera Livslopp : Att Leva Och åldras Som Lhbtq-Person I en Heteronormativ Värld</t>
  </si>
  <si>
    <t>Siverskog, Anna</t>
  </si>
  <si>
    <t>The Contribution of Innate Immunity to the Pathogenesis of ANCA-Associated Vasculitis</t>
  </si>
  <si>
    <t>Söderberg (Appelgren), Daniel</t>
  </si>
  <si>
    <t>Early Domestication? : Phenotypic Alterations of Red Junglefowl Selected for Divergent Fear of Humans</t>
  </si>
  <si>
    <t>Agnvall, Beatrix</t>
  </si>
  <si>
    <t>Seminal Influence on the Oviduct : Mating and/or Semen Components Induce Gene Expression Changes in the Pre-Ovulatory Functional Sperm Reservoir in Poultry and Pigs</t>
  </si>
  <si>
    <t>Atikuzzaman, Mohammad</t>
  </si>
  <si>
    <t>A Gender-Based Approach to Parliamentary Discourse : The Andalusian Parliament</t>
  </si>
  <si>
    <t>Fuentes Rodríguez, Catalina</t>
  </si>
  <si>
    <t>Re-Viewing Industrial Energy-efficiency Improvement Using a Widened System Boundary</t>
  </si>
  <si>
    <t>Paramonova, Svetlana</t>
  </si>
  <si>
    <t>Introducing Public Sector EIDs : The Power of Actors' Translations and Institutional Barriers</t>
  </si>
  <si>
    <t>Söderström, Fredrik</t>
  </si>
  <si>
    <t>The Clinical and Pathological Spectrum of Idiopathic Inflammatory Myopathies : Implications for Pathogenesis, Classification and Diagnosis</t>
  </si>
  <si>
    <t>Danielsson, Olof</t>
  </si>
  <si>
    <t>The Influence of Infertility and in Vitro Fertilization Treatment on Postpartum and Long-Term Mental Health in Women</t>
  </si>
  <si>
    <t>Vikström Eckevall, Josefin</t>
  </si>
  <si>
    <t>Response to Neoadjuvant Treatment in Rectal Cancer Surgery</t>
  </si>
  <si>
    <t>Loftås, Per</t>
  </si>
  <si>
    <t>Variation und Wandel : Zur Konkurrenz Morphologischer und Syntaktischer a+N-Verbindungen Im Deutschen und Niederländischen Seit 1700</t>
  </si>
  <si>
    <t>Schuster, Saskia</t>
  </si>
  <si>
    <t>Monastische Kultur Als Transkonfessionelles Phänomen : Beiträge Einer Deutsch-Russischen Interdisziplinären Tagung in Vladimir und Suzdal&amp;apos</t>
  </si>
  <si>
    <t>Pore Scale Geochemical Processes</t>
  </si>
  <si>
    <t>Steefel, Carl</t>
  </si>
  <si>
    <t>Religion and the Making of Nigeria</t>
  </si>
  <si>
    <t>Vaughan, Olufemi</t>
  </si>
  <si>
    <t>Nachhaltiges Kaufungen</t>
  </si>
  <si>
    <t>Lämmerhirt, Sven</t>
  </si>
  <si>
    <t>Place-related factors, employment opportunities and international students’ migration intention : Evidence from Göttingen, Germany</t>
  </si>
  <si>
    <t>Tlatlik, Rebecca</t>
  </si>
  <si>
    <t>Neue Wege des Diagnostizierens und Förderns im mathematischen Anfangsunterricht : Interviewbasierte Diagnose und Förderung von Kindern mit besonderen Kompetenzausprägungen im Bereich arithmetischer Bildung im 1./2. Schuljahr als Teil der Lehrerbildung der Universität Kassel</t>
  </si>
  <si>
    <t>Haberzettl, Nora</t>
  </si>
  <si>
    <t>Now Peru Is Mine : The Life and Times of a Campesino Activist</t>
  </si>
  <si>
    <t>Llamojha Mitma, Manuel</t>
  </si>
  <si>
    <t>Nanoscale Structure Forming Processes : Metal Thin Films Grown Far-From-equilibrium</t>
  </si>
  <si>
    <t>Elofsson, Viktor</t>
  </si>
  <si>
    <t>Understanding Material Text Cultures : A Multidisciplinary View</t>
  </si>
  <si>
    <t>Hilgert, Markus</t>
  </si>
  <si>
    <t>Wissenschaftliches Publizieren : Zwischen Digitalisierung, Leistungsmessung, Ökonomisierung und Medialer Beobachtung</t>
  </si>
  <si>
    <t>Weingart, Peter</t>
  </si>
  <si>
    <t>Of Gods and Books : Ritual and Knowledge Transmission in the Manuscript Cultures of Premodern India</t>
  </si>
  <si>
    <t>De Simini, Florinda</t>
  </si>
  <si>
    <t>Dynamics of Religion : Past and Present. Proceedings of the XXI World Congress of the International Association for the History of Religions</t>
  </si>
  <si>
    <t>Bochinger, Christoph</t>
  </si>
  <si>
    <t>One-Volume Libraries: Composite and Multiple-Text Manuscripts</t>
  </si>
  <si>
    <t>Yearbook of the Maimonides Centre for Advanced Studies. 2016 : 2016</t>
  </si>
  <si>
    <t>Embodied Visual Object Recognition</t>
  </si>
  <si>
    <t>Wallenberg, Marcus</t>
  </si>
  <si>
    <t>Interprofessional Collaboration in Health Care : Education and Practice</t>
  </si>
  <si>
    <t>Lindh Falk, Annika</t>
  </si>
  <si>
    <t>Organic Electronics for Precise Delivery of Neurotransmitters</t>
  </si>
  <si>
    <t>Jonsson, Amanda</t>
  </si>
  <si>
    <t>Tunable and Modular Assembly of Polypeptides and Polypeptide-Hybrid Biomaterials</t>
  </si>
  <si>
    <t>Aronsson, Christopher</t>
  </si>
  <si>
    <t>Beitrag zur Betrachtung von MTTFSpurious-Modellierung im Zusammenhang mit dem internationalen Sicherheitsstandard IEC 61508</t>
  </si>
  <si>
    <t>Dang, P. N. Thao</t>
  </si>
  <si>
    <t>Betriebswirtschaftliche Strategien für die Abfallwirtschaft und Stadtreinigung 2016</t>
  </si>
  <si>
    <t>Obladen, Hans-Peter</t>
  </si>
  <si>
    <t>Struktur-Eigenschafts-Beziehung von Mischungen aus thermoplastischem PMMA mit vernetzten PMMA-Kolloiden</t>
  </si>
  <si>
    <t>Sauer, Viola</t>
  </si>
  <si>
    <t>Kollektive Identität und Gemeinschaft am Berg : Die Zukunftsfähigkeit der Berglandwirtschaft in zwei Südtiroler Bergweilern</t>
  </si>
  <si>
    <t>Holtkamp, Carolin</t>
  </si>
  <si>
    <t>Procesos de transporte de biomasa y carbonizados en hornos rotatorios</t>
  </si>
  <si>
    <t>Klose, Wolfgang</t>
  </si>
  <si>
    <t>Das Ikonische : Ein heuristisches Konzept zur Generierung projektiver Handlungsräume im Design</t>
  </si>
  <si>
    <t>Boom, Holger van den</t>
  </si>
  <si>
    <t>Sales and Operations Planning Based on a Modularized View of Supply Chains : Supporting Process Industries and Discrete Manufacturing Industries</t>
  </si>
  <si>
    <t>Noroozi, Sayeh</t>
  </si>
  <si>
    <t>Probabilistic Modeling for Sensor Fusion with Inertial Measurements</t>
  </si>
  <si>
    <t>Kok, Manon</t>
  </si>
  <si>
    <t>Constructions of Cultural Identities in Newsreel Cinema and Television after 1945</t>
  </si>
  <si>
    <t>Imesch, Kornelia</t>
  </si>
  <si>
    <t>Bildung als Integrationstechnologie? : Neue Konzepte für die Bildungsarbeit mit Geflüchteten</t>
  </si>
  <si>
    <t>Böhmer, Anselm</t>
  </si>
  <si>
    <t>Musicians in Transit : Argentina and the Globalization of Popular Music</t>
  </si>
  <si>
    <t>The Encyclopedia of British Film : Fourth Edition</t>
  </si>
  <si>
    <t>McFarlane, Brian</t>
  </si>
  <si>
    <t>Regulatory Programs Controlling Profileration During Drosophila Nervous System Development</t>
  </si>
  <si>
    <t>Gunnar, Erika</t>
  </si>
  <si>
    <t>Microscopic Simulation of Pedestrian Traffic</t>
  </si>
  <si>
    <t>Johansson, Fredrik</t>
  </si>
  <si>
    <t>Making Sense of Adaptations: Resilience in High-Risk Work</t>
  </si>
  <si>
    <t>Rankin, Amy</t>
  </si>
  <si>
    <t>Diffusion and Transfer of Knowledge in Agriculture</t>
  </si>
  <si>
    <t>Huyghe, Christian</t>
  </si>
  <si>
    <t>Essays in Honour of Eamonn Cantwell : Yeats Annual No. 20</t>
  </si>
  <si>
    <t>The Infrastructure Finance Challenge</t>
  </si>
  <si>
    <t>Walter, Ingo</t>
  </si>
  <si>
    <t>Vertical Readings in Dante's Comedy : Volume 2</t>
  </si>
  <si>
    <t>Literature Against Criticism : University English and Contemporary Fiction in Conflict</t>
  </si>
  <si>
    <t>Eve, Martin Paul</t>
  </si>
  <si>
    <t>Open Education : International Perspectives in Higher Education</t>
  </si>
  <si>
    <t>Blessinger, Patrick</t>
  </si>
  <si>
    <t>Woodstock Scholarship : An Interdisciplinary Annotated Bibliography</t>
  </si>
  <si>
    <t>Gatten, Jeffrey N.</t>
  </si>
  <si>
    <t>Regional Environmental Governance and Avenues for the Ecosystem Approach to Management in the Baltic Sea Area</t>
  </si>
  <si>
    <t>Söderström, Sara</t>
  </si>
  <si>
    <t>Knowledge Integration with Customers in Collaborative Product Development Project</t>
  </si>
  <si>
    <t>Eslami, Mohammad H.</t>
  </si>
  <si>
    <t>Optical Monitoring of Cerebral Microcirculation</t>
  </si>
  <si>
    <t>Rejmstad, Peter</t>
  </si>
  <si>
    <t>Citizenship in Question : Evidentiary Birthright and Statelessness</t>
  </si>
  <si>
    <t>Lawrance, Benjamin N.</t>
  </si>
  <si>
    <t>Reichszentralbehörden, Regionale Behörden und Wissenschaftliche Hochschulen Für Die Zehn Westdeutschen länder Sowie Berlin</t>
  </si>
  <si>
    <t>Institut für Zeitgeschichte, Institut für</t>
  </si>
  <si>
    <t>Inventar der Befehle des Obersten Chefs der Sowjetischen Militäradministration in Deutschland (SMAD) 1945-1949 : - Offene Serie -</t>
  </si>
  <si>
    <t>Bibliography</t>
  </si>
  <si>
    <t>Waardenburg, Jacques</t>
  </si>
  <si>
    <t>Material Culture in Modern Diplomacy from the 15th to the 20th Century</t>
  </si>
  <si>
    <t>Rudolph, Harriet</t>
  </si>
  <si>
    <t>Audiovisuelle Rhythmen : Filmmusik, Bewegungskomposition und Die Dynamische Affizierung des Zuschauers</t>
  </si>
  <si>
    <t>Bakels, Jan-Hendrik</t>
  </si>
  <si>
    <t>Affektpoetiken des New Hollywood : Suspense, Paranoia und Melancholie</t>
  </si>
  <si>
    <t>Somalis in the Twin Cities and Columbus : Immigrant Incorporation in New Destinations</t>
  </si>
  <si>
    <t>Chambers, Stefanie</t>
  </si>
  <si>
    <t>Chemically Modified Metal Oxide Nanostructures Electrodes for Sensing and Energy Conversion</t>
  </si>
  <si>
    <t>Elhag, Sami</t>
  </si>
  <si>
    <t>Fluorinated SiC CVD</t>
  </si>
  <si>
    <t>Stenberg, Pontus</t>
  </si>
  <si>
    <t>Surface Integrity and Fatigue Performance of Nickel-Based Superalloys</t>
  </si>
  <si>
    <t>Chen, Zhe</t>
  </si>
  <si>
    <t>Transformations Agricoles et Agroalimentaires : Entre écologie et Capitalisme</t>
  </si>
  <si>
    <t>Allaire, Gilles</t>
  </si>
  <si>
    <t>Architecture et Croissance des Plantes : Modélisation et Applications</t>
  </si>
  <si>
    <t>De Reffye, Philippe</t>
  </si>
  <si>
    <t>Minnereden : Auswahledition</t>
  </si>
  <si>
    <t>Dorobantu, Iulia-Emilia</t>
  </si>
  <si>
    <t>Auslegung und Hermeneutik der Bibel in der Reformationszeit</t>
  </si>
  <si>
    <t>Christ-von Wedel, Christine</t>
  </si>
  <si>
    <t>Att Göra Pedagogisk Praktik Tillsammans : Socialt Samspel I Förskolans Vardag</t>
  </si>
  <si>
    <t>Dalgren, Sara</t>
  </si>
  <si>
    <t>Indirect System Identification for Unknown Input Problems : With Applications to Ships</t>
  </si>
  <si>
    <t>Linder, Jonas</t>
  </si>
  <si>
    <t>The Psychology of Social Networking Vol. 1 : Personal Experience in Online Communities</t>
  </si>
  <si>
    <t>Genetic Mechanisms Regulating Proliferation and Cell Specification in the Drosophila Embryonic CNS</t>
  </si>
  <si>
    <t>Bahrampour, Shahrzad</t>
  </si>
  <si>
    <t>Building Design Capability in the Public Sector : Expanding the Horizons of Development</t>
  </si>
  <si>
    <t>Malmberg, Lisa</t>
  </si>
  <si>
    <t>Qualitätsanalyse koordinierter Lichtsignalsteuerungen unter Verwendung kooperativ gewonnener Messgrößen</t>
  </si>
  <si>
    <t>Rudolph, Felix</t>
  </si>
  <si>
    <t>Far-infrared Spectroscopy of Dimethyl-Ether and its &lt;sup&gt;13&lt;/sup&gt;C-enriched Isotopologues and First Spectroscopic Characterization of Tert-butyl-dibromophosphane</t>
  </si>
  <si>
    <t>Kutzer, Pia</t>
  </si>
  <si>
    <t>60 Jahre moderne Stadt(t)räume in Hamburg : Das Grindelquartier und die Gartenstadt am Hohnerkamp – gescheiterte Siedlungsmodelle oder Modellsiedlungen mit Zukunft?</t>
  </si>
  <si>
    <t>Blecher, Sebastian</t>
  </si>
  <si>
    <t>Nachhall : Komponistinnen und ihr Werk V</t>
  </si>
  <si>
    <t>Nies, Christel</t>
  </si>
  <si>
    <t>Biographien (mit-)teilen : Qualitative Evaluierung des Programms "Lebensweg inklusive"</t>
  </si>
  <si>
    <t>Rotatives Vibrationsschweißen</t>
  </si>
  <si>
    <t>Jarka, Stefan</t>
  </si>
  <si>
    <t>Selbstlernende Algorithmen zur videobasierten Absichtserkennung von Fußgängern</t>
  </si>
  <si>
    <t>Goldhammer, Michael</t>
  </si>
  <si>
    <t>The Interaction between Financial Stability and Financial Institutions: Some Reflections</t>
  </si>
  <si>
    <t>Käfer, Benjamin</t>
  </si>
  <si>
    <t>Simulation rotordynamischer Problemstellungen mit der Smoothed Particle Hydrodynamics Methode</t>
  </si>
  <si>
    <t>Stein, Anika</t>
  </si>
  <si>
    <t>Simulation of Manufacturing Sequences of Functionally Graded Structures</t>
  </si>
  <si>
    <t>Gleim, Tobias</t>
  </si>
  <si>
    <t>Model Driven Visual Programming for Serious Games</t>
  </si>
  <si>
    <t>Niroshan, Thillainathan</t>
  </si>
  <si>
    <t>Dying in Full Detail : Mortality and Digital Documentary</t>
  </si>
  <si>
    <t>Malkowski, Jennifer</t>
  </si>
  <si>
    <t>Downwardly Global : Women, Work, and Citizenship in the Pakistani Diaspora</t>
  </si>
  <si>
    <t>Ameeriar, Lalaie</t>
  </si>
  <si>
    <t>Language in the Digital Era. Challenges and Perspectives</t>
  </si>
  <si>
    <t>Dejica, Daniel</t>
  </si>
  <si>
    <t>Events, States and Times : An Essay on Narrative Discourse in English</t>
  </si>
  <si>
    <t>Altshuler, Daniel</t>
  </si>
  <si>
    <t>Triage : Management of the Trauma Patient</t>
  </si>
  <si>
    <t>Lampi, Maria</t>
  </si>
  <si>
    <t>Just War and Human Rights : Fighting with Right Intention</t>
  </si>
  <si>
    <t>Burkhardt, Todd</t>
  </si>
  <si>
    <t>Hydraulic City : Water and the Infrastructures of Citizenship in Mumbai</t>
  </si>
  <si>
    <t>Anand, Nikhil</t>
  </si>
  <si>
    <t>Energy Without Conscience : Oil, Climate Change, and Complicity</t>
  </si>
  <si>
    <t>Hughes, David McDermott</t>
  </si>
  <si>
    <t>Barns Relationer I Våldets Närhet : Respons, Positioner Och Möjligheten till Barns Röst</t>
  </si>
  <si>
    <t>Åkerlund, Nina</t>
  </si>
  <si>
    <t>Cardiac Disease in Pregnancy and Consequences for Reproductive Outcomes, Comorbidity and Survival</t>
  </si>
  <si>
    <t>Kernell, Kristina</t>
  </si>
  <si>
    <t>Neuron-To-neuron Propagation of Neurodegenerative Proteins</t>
  </si>
  <si>
    <t>Urban Planning and Everyday Urbanisation : A Case Study on Bahir Dar, Ethiopia</t>
  </si>
  <si>
    <t>Appelhans, Nadine</t>
  </si>
  <si>
    <t>Sovereignty in Ruins : A Politics of Crisis</t>
  </si>
  <si>
    <t>Edmondson, George</t>
  </si>
  <si>
    <t>The Black Death and Later Plague Epidemics in the Scandinavian Countries: : Perspectives and Controversies</t>
  </si>
  <si>
    <t>Benedictow, Ole Jørgen</t>
  </si>
  <si>
    <t>Structural Analysis and Renovation Design of Ageing Sewers : Design Theories and Case Studies</t>
  </si>
  <si>
    <t>Zihai, Shi</t>
  </si>
  <si>
    <t>Rhetoric and Drama</t>
  </si>
  <si>
    <t>Mayfield, D. S.</t>
  </si>
  <si>
    <t>The Receptor Tyrosine Kinase Met and the Protein Tyrosine Phosphatase PTPN2 in Breast Cancer</t>
  </si>
  <si>
    <t>Veenstra, Cynthia</t>
  </si>
  <si>
    <t>Interoperability Capability to Interoperate in a Shared Work Practice Using Information infrastructures : Studies in EPrescribing</t>
  </si>
  <si>
    <t>Öhlund, Sten-Erik</t>
  </si>
  <si>
    <t>National Appropriateness of International Climate Policy Frameworks in India, Brazil, and South Africa</t>
  </si>
  <si>
    <t>Upadhyaya, Prabhat</t>
  </si>
  <si>
    <t>Behaviour, Development and Evolution</t>
  </si>
  <si>
    <t>Bateson, Patrick</t>
  </si>
  <si>
    <t>Wallenstein : A Dramatic Poem</t>
  </si>
  <si>
    <t>What Works in Conservation : 2017</t>
  </si>
  <si>
    <t>Security in a Small Nation : Scotland, Democracy, Politics</t>
  </si>
  <si>
    <t>Neal, Andrew W.</t>
  </si>
  <si>
    <t>Deliberation, Representation, Equity : Research Approaches, Tools and Algorithms for Participatory Processes</t>
  </si>
  <si>
    <t>Ekenberg, Love</t>
  </si>
  <si>
    <t>Ionic and Electronic Transport in Electrochemical and Polymer Based Systems</t>
  </si>
  <si>
    <t>Volkov, Anton</t>
  </si>
  <si>
    <t>Advanced Kalman Filtering Approaches to Bayesian State Estimation</t>
  </si>
  <si>
    <t>Roth, Michael</t>
  </si>
  <si>
    <t>Improving Image Quality in Multi-Channel Printing - multilevel Halftoning, Color Separation and Graininess Characterization</t>
  </si>
  <si>
    <t>Zitinski Elías, Paula</t>
  </si>
  <si>
    <t>Systemic and Local Regulation of Experimental Arthritis by IFN-&amp;alpha</t>
  </si>
  <si>
    <t>Die Rehabilitation und das Schwerbeschädigtenrecht der DDR im Übergang zur Bundesrepublik Deutschland : Strukturen und Akteure</t>
  </si>
  <si>
    <t>Ramm, Diana</t>
  </si>
  <si>
    <t>Numerical Modeling of Narrow-linewidth Quantum Dot Lasers</t>
  </si>
  <si>
    <t>Bjelica, Marko</t>
  </si>
  <si>
    <t>Integrated reporting and sustainability-related assurance : Effects, current practice and future directions</t>
  </si>
  <si>
    <t>Gürtürk, Anil</t>
  </si>
  <si>
    <t>Development and Applications of Theoretical Algorithms for Simulations of Materials at Extreme Conditions</t>
  </si>
  <si>
    <t>Mosyagin, Igor</t>
  </si>
  <si>
    <t>What about the Parents? : Sleep Quality, Mood, Saliva Cortisol Response and Sense of Coherence in Parents with a Child Admitted to Pediatric Care</t>
  </si>
  <si>
    <t>Angelhoff, Charlotte</t>
  </si>
  <si>
    <t>The Non-Invasive Liver Biopsy : Determining Hepatic Function in Diffuse and Focal LiverDisease</t>
  </si>
  <si>
    <t>Forsgren, Mikael</t>
  </si>
  <si>
    <t>Välja Vara : En Studie Om Gymnasieval, Mässor Och Kampen Om Framtiden</t>
  </si>
  <si>
    <t>Harling, Martin</t>
  </si>
  <si>
    <t>Levodopa Pharmacokinetics -From Stomach to Brain : A Study on Patients with Parkinson's Disease</t>
  </si>
  <si>
    <t>Nord, María</t>
  </si>
  <si>
    <t>Non-Equilibrium Charge Motion in Organic Solar Cells</t>
  </si>
  <si>
    <t>Melianas, Armantas</t>
  </si>
  <si>
    <t>Epidemiological and Statistical Basis for Detection and Prediction of Influenza Epidemics</t>
  </si>
  <si>
    <t>Spreco, Armin</t>
  </si>
  <si>
    <t>Construire des Politiques Alimentaires Urbaines : Concepts et Démarches</t>
  </si>
  <si>
    <t>Brand, Caroline</t>
  </si>
  <si>
    <t>Les Virus : Ennemis Ou Alliés ?</t>
  </si>
  <si>
    <t>Biacchesi, Stéphane</t>
  </si>
  <si>
    <t>Tendinosis in Trigger Finger</t>
  </si>
  <si>
    <t>Lundin, Anna-Carin</t>
  </si>
  <si>
    <t>Healthcare Priority Setting and Rare Diseases : What Matters When Reimbursing Orphan Drugs</t>
  </si>
  <si>
    <t>Wiss, Johanna</t>
  </si>
  <si>
    <t>Structure-Exploiting Numerical Algorithms for Optimal Control</t>
  </si>
  <si>
    <t>Nielsen, Isak</t>
  </si>
  <si>
    <t>Japanese Reflections on World War II and the American Occupation</t>
  </si>
  <si>
    <t>Porter, Edgar</t>
  </si>
  <si>
    <t>Chronic Pain and Exercise : Studies on Pain Intensity, Biochemistry, Adherence and Attitudes</t>
  </si>
  <si>
    <t>Karlsson, Linn</t>
  </si>
  <si>
    <t>Flexible and Cellulose-Based Organic Electronics</t>
  </si>
  <si>
    <t>Edberg, Jesper</t>
  </si>
  <si>
    <t>Organic Computing : Doctoral Dissrtation Colloquim 2016</t>
  </si>
  <si>
    <t>Ein Verfahren zur Prognose verkehrsabhängiger Schaltzeiten von Lichtsignalanlagen</t>
  </si>
  <si>
    <t>Weisheit, Toni</t>
  </si>
  <si>
    <t>Soziale Rechte und gesellschaftliche Wirklichkeiten : Interdisziplinäre Konferenz des Forschungsverbunds für Sozialrecht und Sozialpolitik (FoSS) der Hochschule Fulda und der Universität Kassel, 03./04. September 2015. Tagungsband</t>
  </si>
  <si>
    <t>Kreher, Simone</t>
  </si>
  <si>
    <t>Neue Forschungen zur Medizingeschichte : Beiträge des „Rheinischen Kreises der Medizinhistoriker“</t>
  </si>
  <si>
    <t>Schmidt, Mathias</t>
  </si>
  <si>
    <t>Beitrag zur Herstellung 3-dimensionaler Kunststoffscheiben mit integrierter Funktion zur Veränderung der Transparenz durch Elektrochromie</t>
  </si>
  <si>
    <t>Giesen, Ralf-Urs</t>
  </si>
  <si>
    <t>Ich mach Dir den Hof! - Brennpunkt Hofübergabe : Dokumentationsband der 24. Witzenhäuser Konferenz 6. bis 10. Dezember 2016</t>
  </si>
  <si>
    <t>Projektgruppe Ich mach Dir den Hof! - Brennpunkt Hofübergabe</t>
  </si>
  <si>
    <t>Symptoms of an Unruly Age : Li Zhi and Cultures of Early Modernity</t>
  </si>
  <si>
    <t>Handler-Spitz, Rivi</t>
  </si>
  <si>
    <t>Confucian Image Politics : Masculine Morality in Seventeenth-Century China</t>
  </si>
  <si>
    <t>Zhang, Ying</t>
  </si>
  <si>
    <t>How Development Projects Persist : Everyday Negotiations with Guatemalan NGOs</t>
  </si>
  <si>
    <t>Beck, Erin</t>
  </si>
  <si>
    <t>La Traction Animale</t>
  </si>
  <si>
    <t>Amyloid-&amp;beta</t>
  </si>
  <si>
    <t>Disordered Icosahedral Boron-Rich Solids : A Theoretical Study of Thermodynamic Stability and Properties</t>
  </si>
  <si>
    <t>Ektarawong, Annop</t>
  </si>
  <si>
    <t>Automated Layup and Forming of Prepreg Laminates</t>
  </si>
  <si>
    <t>Björnsson, Andreas</t>
  </si>
  <si>
    <t>Operationalizing Industrial Ecology in the Waste Sector : Roles and Tactics for Circular Value Innovation</t>
  </si>
  <si>
    <t>Aid, Graham</t>
  </si>
  <si>
    <t>Species Responses to Environmental Fluctuations : Impacts of Food Web Interactions and Noise Color</t>
  </si>
  <si>
    <t>Gudmundson, Sara</t>
  </si>
  <si>
    <t>Staging and Tumor Biological Mechanisms of Lymph Node Metastasis in Invasive Urinary Bladder Cancer</t>
  </si>
  <si>
    <t>Aljabery, Firas</t>
  </si>
  <si>
    <t>A Systematic Approach for Major Renovation of Residential Buildings</t>
  </si>
  <si>
    <t>Liu, Linn</t>
  </si>
  <si>
    <t>Microbial Communities in Boreal Peatlands : Responses to Climate Change and Atmospheric Nitrogen and Sulfur Depositions</t>
  </si>
  <si>
    <t>Genero, Magalí Martí</t>
  </si>
  <si>
    <t>Domestication Effects on the Stress Response in Chickens : Genetics, Physiology, and Behaviour</t>
  </si>
  <si>
    <t>Fallahshahroudi, Amir</t>
  </si>
  <si>
    <t>Structural Properties of the Mastoid Using Image Analysis and Visualization</t>
  </si>
  <si>
    <t>Cros, Olivier</t>
  </si>
  <si>
    <t>Contributions to Small Area Estimation : Using Random Effects Growth Curve Model</t>
  </si>
  <si>
    <t>Ngaruye, Innocent</t>
  </si>
  <si>
    <t>Phase Formation of Nanolaminated Transition Metal Carbide Thin Films</t>
  </si>
  <si>
    <t>Lai, Chung-Chuan</t>
  </si>
  <si>
    <t>Circulating and Genetic Factors in Colorectal Cancer : Potential Factors for Establishing Prognosis?</t>
  </si>
  <si>
    <t>Slind Olsen, Renate</t>
  </si>
  <si>
    <t>Fleshing Out the Self : Reimagining Intersexed and Trans Embodied Lives Through (auto)biographical Accounts of the Past</t>
  </si>
  <si>
    <t>Holm, Marie-Louise</t>
  </si>
  <si>
    <t>How to Create and Analyze a Heart Failure Registry with Emphasis on Anemia and Quality of Life</t>
  </si>
  <si>
    <t>Jonsson, Åsa</t>
  </si>
  <si>
    <t>Admissible Transformations and the Group Classification of Schrödinger Equations</t>
  </si>
  <si>
    <t>Kurujyibwami, Celestin</t>
  </si>
  <si>
    <t>Une Petite Histoire de l'alimentation Française</t>
  </si>
  <si>
    <t>Bellemain, Véronique</t>
  </si>
  <si>
    <t>Gated Bayesian Networks</t>
  </si>
  <si>
    <t>Bendtsen, Marcus</t>
  </si>
  <si>
    <t>Investigating Amyloid &amp;beta</t>
  </si>
  <si>
    <t>The Physical Axon : Modeling, Simulation and Electrode Evaluation</t>
  </si>
  <si>
    <t>Latorre, Malcolm</t>
  </si>
  <si>
    <t>Reassembling Local E-Government : A Study of Actors' Translations of Digitalisation in Public Administration</t>
  </si>
  <si>
    <t>Gustafsson, Mariana S.</t>
  </si>
  <si>
    <t>Knowledge-Based Integrated Aircraft Design : An Applied Approach from Design to Concept Demonstration</t>
  </si>
  <si>
    <t>Munjulury, Raghu Chaitanya</t>
  </si>
  <si>
    <t>Computational Complexity of Some Optimization Problems in Planning</t>
  </si>
  <si>
    <t>Aghighi, Meysam</t>
  </si>
  <si>
    <t>Identity, Old(er) Age and Migrancy : A Social Constructionist Lens</t>
  </si>
  <si>
    <t>Machat-From, Laura</t>
  </si>
  <si>
    <t>Children's Early Mathematics Learning and Development : Number Game Interventions and Number Line Estimations</t>
  </si>
  <si>
    <t>Elofsson, Jessica</t>
  </si>
  <si>
    <t>Managing Migrant Workers : Moral Economies of Temporary Labour in the Swedish IT and Wild Berry Industries</t>
  </si>
  <si>
    <t>Krifors, Karin</t>
  </si>
  <si>
    <t>Families of Sets Without the Baire Property</t>
  </si>
  <si>
    <t>Nyagahakwa, Venuste</t>
  </si>
  <si>
    <t>Molecular Mechanisms of Resin Acids and Their Derivatives on the Opening of a Potassium Channel</t>
  </si>
  <si>
    <t>Ottosson, Nina</t>
  </si>
  <si>
    <t>Production and Products of Preschool Documentation : Entanglements of Children, Things, and Templates</t>
  </si>
  <si>
    <t>Elfström Pettersson, Katarina</t>
  </si>
  <si>
    <t>Improving Management of STEMI Patients Treated with Primary PCI : Pharmacotherapy, Renal Function Estimation and Gender Perspective</t>
  </si>
  <si>
    <t>Venetsanos, Dimitrios</t>
  </si>
  <si>
    <t>Barn till Beskådan : Familj, Välfärdsstat Och Nation I Fototävlingar Och Fotoböcker 1930-1944</t>
  </si>
  <si>
    <t>Hallberg, Mathilda</t>
  </si>
  <si>
    <t>Twentieth-Century Russian Poetry : Reinventing the Canon</t>
  </si>
  <si>
    <t>Hodgson, Katharine</t>
  </si>
  <si>
    <t>The Idea of Europe : Enlightenment Perspectives</t>
  </si>
  <si>
    <t>Seth, Catriona</t>
  </si>
  <si>
    <t>Just Managing? : What It Means for the Families of Austerity Britain</t>
  </si>
  <si>
    <t>O'Brien, Mark</t>
  </si>
  <si>
    <t>Zombies in Western Culture : A Twenty-First Century Crisis</t>
  </si>
  <si>
    <t>Vervaeke, John</t>
  </si>
  <si>
    <t>L' idée de L'Europe : Au Siècle des Lumières</t>
  </si>
  <si>
    <t>von Kulessa, Rotraud</t>
  </si>
  <si>
    <t>Searching for Sharing : Heritage and Multimedia in Africa</t>
  </si>
  <si>
    <t>Merolla, Daniela</t>
  </si>
  <si>
    <t>Living Territories to Transform the World</t>
  </si>
  <si>
    <t>Caron, Patrick</t>
  </si>
  <si>
    <t>Klima- und energieeffiziente Bereitstellung von Flüssigaluminium für den Druckgießprozess</t>
  </si>
  <si>
    <t>Bloemen, Kai</t>
  </si>
  <si>
    <t>Die Kasseler Hofbildhauer Heyd – eine Annäherung : Ludwig Daniel Heyd (1743–1801) und Johann Wolfgang Heyd (1749–1798)</t>
  </si>
  <si>
    <t>Sitt, Martina</t>
  </si>
  <si>
    <t>Probabilistische Untersuchungen zu Überfestigkeiten von genagelten Wandelementen in Holztafelbauweise</t>
  </si>
  <si>
    <t>Schick, Michael</t>
  </si>
  <si>
    <t>Alter(n) und Soziale Nachhaltigkeit : Interdisziplinäre Zugänge zu den Herausforderungen alternder Gesellschaften</t>
  </si>
  <si>
    <t>Flexibilisierung des industriellen Energiebedarfes : Nutzungsgradsteigerung erneuerbarer Energien in Verteilnetzen</t>
  </si>
  <si>
    <t>Khripko, Diana</t>
  </si>
  <si>
    <t>Food Culture of Southeast Asia: Perspectives of Social Science and Food Science</t>
  </si>
  <si>
    <t>David, Wahyudi</t>
  </si>
  <si>
    <t>Human capital, occupational status, and social integration of Pakistani immigrants in Germany: Gender Perspectives</t>
  </si>
  <si>
    <t>Mahmood, Sadaf</t>
  </si>
  <si>
    <t>“Like Love Is Primal?” : Der moralfähige Vampir als Projektionsfläche für den Genderdiskurs in aktuellen US-amerikanischen TV-Serien</t>
  </si>
  <si>
    <t>Davin, Sara</t>
  </si>
  <si>
    <t>The Hirschfeld Archives : Violence, Death, and Modern Queer Culture</t>
  </si>
  <si>
    <t>Bauer, Heike</t>
  </si>
  <si>
    <t>Creole Studies - Phylogenetic Approaches</t>
  </si>
  <si>
    <t>Bakker, Peter</t>
  </si>
  <si>
    <t>Towards a Minor Bilingualism : Exploring Variations of Language and Literacy in Early Childhood Education</t>
  </si>
  <si>
    <t>Martín-Bylund, Anna</t>
  </si>
  <si>
    <t>Gränsdragningar I Vårdens Vardag : Hanteringen Av Arbetsrelaterad Psykisk Ohälsa I Det Svenska Välfärdssystemet</t>
  </si>
  <si>
    <t>Andersson, Réka</t>
  </si>
  <si>
    <t>Electrokinetic Devices from Polymeric Materials</t>
  </si>
  <si>
    <t>Bengtsson, Katarina</t>
  </si>
  <si>
    <t>'Collaborative Competition' : Stance-Taking and Positioning in the European Parliament</t>
  </si>
  <si>
    <t>Avdan, Nazli</t>
  </si>
  <si>
    <t>Towards Increased Use of Discrete-Event Simulation for Hospital Resource Planning</t>
  </si>
  <si>
    <t>Steins, Krisjanis</t>
  </si>
  <si>
    <t>Theoretical Prediction of Properties of Atomistic Systems : Density Functional Theory and Machine Learning</t>
  </si>
  <si>
    <t>Lindmaa, Alexander</t>
  </si>
  <si>
    <t>Proteomics As a Multifaceted Tool in Medicine and Environmental Assessment</t>
  </si>
  <si>
    <t>Kuruvilla, Jacob</t>
  </si>
  <si>
    <t>Photoluminescence Characteristics of III-Nitride Quantum Dots and Films</t>
  </si>
  <si>
    <t>Eriksson, Martin</t>
  </si>
  <si>
    <t>Fluorescence Guided Resection of Brain Tumors : Evaluation of a Hand-Held Spectroscopic Probe</t>
  </si>
  <si>
    <t>Richter, Johan</t>
  </si>
  <si>
    <t>Imdeduya : Variants of a Myth of Love and Hate from the Trobriand Islands of Papua New Guinea</t>
  </si>
  <si>
    <t>Senft, Gunter</t>
  </si>
  <si>
    <t>Language and Slavery : A Social and Linguistic History of the Suriname Creoles</t>
  </si>
  <si>
    <t>Arends, Jacques</t>
  </si>
  <si>
    <t>Stimulating the Diffusion of Environmental Technologies Through Export</t>
  </si>
  <si>
    <t>Kanda, Wisdom</t>
  </si>
  <si>
    <t>Completion of Ontologies and Ontology Networks</t>
  </si>
  <si>
    <t>Dragisic, Zlatan</t>
  </si>
  <si>
    <t>Implementing Energy Measures in Renovations for Multi-Family Dwellings : Influence and Practice of Professionals</t>
  </si>
  <si>
    <t>Reindl, Katharina</t>
  </si>
  <si>
    <t>Neuropeptide Receptors As Treatment Targets in Alcohol Use Disorders</t>
  </si>
  <si>
    <t>Aziz, Abdul Maruf Asif</t>
  </si>
  <si>
    <t>High Order Summation-By-parts Based Approximations for Discontinuous and Nonlinear Problems</t>
  </si>
  <si>
    <t>La Cognata, Cristina</t>
  </si>
  <si>
    <t>Short- and Long-Term Influences of Education, Health Indicators, and Crime on Labor Market Outcomes : Five Essays in Empirical Labor Economics</t>
  </si>
  <si>
    <t>Lång, Elisabeth</t>
  </si>
  <si>
    <t>Content Ontology Design Patterns: Qualities, Methods, and Tools</t>
  </si>
  <si>
    <t>Hammar, Karl</t>
  </si>
  <si>
    <t>The Relationship Between Personality and Cognition in the Fowl, Gallus Gallus</t>
  </si>
  <si>
    <t>Zidar, Josefina</t>
  </si>
  <si>
    <t>Biomarkers of Disease Activity and Organ Damage in Systemic Lupus Erythematosus</t>
  </si>
  <si>
    <t>Wirestam, Lina</t>
  </si>
  <si>
    <t>The Datafied Society : Studying Culture Through Data</t>
  </si>
  <si>
    <t>Schäfer, Mirko Tobias</t>
  </si>
  <si>
    <t>Identity Politics of Difference : The Mixed-Race American Indian Experience</t>
  </si>
  <si>
    <t>Montgomery, Michelle</t>
  </si>
  <si>
    <t>Fighter Aircraft Maneuver Limiting Using MPC : Theory and Application</t>
  </si>
  <si>
    <t>Simon, Daniel</t>
  </si>
  <si>
    <t>Methods for Detecting Unsolvable Planning Instances Using Variable Projection</t>
  </si>
  <si>
    <t>Ståhlberg, Simon</t>
  </si>
  <si>
    <t>Metamodel-Based Multidisciplinary Design Optimization of Automotive Structures</t>
  </si>
  <si>
    <t>Ryberg, Ann-Britt</t>
  </si>
  <si>
    <t>Barn, Föräldrar, Välfärdsstat : Den Politiska Debatten Om Föräldrautbildning Och Föräldrastöd 1964-2009</t>
  </si>
  <si>
    <t>Littmarck, Sofia</t>
  </si>
  <si>
    <t>Risks for Cardiovascular Disease in Middle-Aged Women in Different Social Environments</t>
  </si>
  <si>
    <t>Wennerholm, Carina</t>
  </si>
  <si>
    <t>Evolving Germs - Antibiotic Resistance and Natural Selection in Education and Public Communication</t>
  </si>
  <si>
    <t>Bohlin, Gustav</t>
  </si>
  <si>
    <t>Hållbart Utvecklingsarbete I Vård Och Omsorg : Ett Institutionellt Perspektiv På Projekt I en Professionell Och Byråkratisk Kontext</t>
  </si>
  <si>
    <t>Åhlfeldt, Emanuel</t>
  </si>
  <si>
    <t>Health Economic Evaluations of Screening Programs - Applications and Method Improvements</t>
  </si>
  <si>
    <t>Aronsson, Mattias</t>
  </si>
  <si>
    <t>CVD Chemistry of Organoborons for Boron-Carbon Thin Film Depositions</t>
  </si>
  <si>
    <t>Imam, Mewlude</t>
  </si>
  <si>
    <t>Negotiations of the »New World« : The Omnipresence of »Global« as a Political Phenomenon</t>
  </si>
  <si>
    <t>Selchow, Sabine</t>
  </si>
  <si>
    <t>Identification of Change Patterns for the Generation of Models of Work-as-Done using Eye-tracking</t>
  </si>
  <si>
    <t>Arenius, Marcus</t>
  </si>
  <si>
    <t>Flood-related health risk assessment: a case study in Hoi An City, Quang Nam province, Vietnam</t>
  </si>
  <si>
    <t>Trinh, Thi Giao Chi</t>
  </si>
  <si>
    <t>Nahverkehrs-Tage 2017 : Digital und Disruptiv - Neue Daten und Methoden für einen kundengerechten ÖPNV</t>
  </si>
  <si>
    <t>Imagined Economies and the Re-Framing of Trade Policy: : The Role of Taiwan’s Political Elites in Discourses of Cross-Strait Trade Policy</t>
  </si>
  <si>
    <t>Chiao, Yuan-Ming</t>
  </si>
  <si>
    <t>Simulation in Produktion und Logistik 2017</t>
  </si>
  <si>
    <t>Wenzel, Sigrid</t>
  </si>
  <si>
    <t>Wissen und Konstruktion des Anderen : Beiträge zum postpoietischen und postkolonialen Paradigma</t>
  </si>
  <si>
    <t>Morikawa, Takemitsu</t>
  </si>
  <si>
    <t>Das wasserrechtliche Verschlechterungsverbot und seine Ausnahmen</t>
  </si>
  <si>
    <t>Anschütz, Maria</t>
  </si>
  <si>
    <t>International Labor Migration and Livelihood Security in Nepal : Considering the Household Level</t>
  </si>
  <si>
    <t>Knerr, Beatrice</t>
  </si>
  <si>
    <t>Model-Based Hypothesis Testing in Biomedicine : How Systems Biology Can Drive the Growth of Scientific Knowledge</t>
  </si>
  <si>
    <t>Johansson, Rikard</t>
  </si>
  <si>
    <t>Toward the Optimization of Low-Temperature Solution-based Synthesis of ZnO Nanostructures for Device Applications</t>
  </si>
  <si>
    <t>Alnoor, Hatim</t>
  </si>
  <si>
    <t>Assessment of Ventricular Function in Normal and Failing Hearts Using 4D Flow CMR</t>
  </si>
  <si>
    <t>Zajac, Jakub</t>
  </si>
  <si>
    <t>On Decoration of Biomolecular Scaffolds with a Conjugated Polyelectrolyte</t>
  </si>
  <si>
    <t>Elfwing, Anders</t>
  </si>
  <si>
    <t>„Disability Studies“ meets „History of Science“ : Körperliche Differenz und soziokulturelle Konstruktion von Behinderung aus der Perspektive der Medizin-, Technik- und Wissenschaftsgeschichte</t>
  </si>
  <si>
    <t>Willensfreiheit</t>
  </si>
  <si>
    <t>Keil, Geert</t>
  </si>
  <si>
    <t>Development of an Offshore Specific Wind Power Forecasting System Delopment of am Offshore Specific Wind Power Forecasting System</t>
  </si>
  <si>
    <t>Kurt, Melih</t>
  </si>
  <si>
    <t>Framing Education : Doing Comics Literacy in the Classroom</t>
  </si>
  <si>
    <t>Wallner, Lars</t>
  </si>
  <si>
    <t>Image Analysis for Trabecular Bone Properties on Cone-Beam CT Data</t>
  </si>
  <si>
    <t>Klintström, Eva</t>
  </si>
  <si>
    <t>Development of Form-Adaptive Airfoil Profiles for Wind Turbine Application</t>
  </si>
  <si>
    <t>Ahmed, Irfan</t>
  </si>
  <si>
    <t>Love and Its Critics : From the Song of Songs to Shakespeare and Milton's Eden</t>
  </si>
  <si>
    <t>Bryson, Michael</t>
  </si>
  <si>
    <t>World of Walls : The Structure, Roles and Effectiveness of Separation Barriers</t>
  </si>
  <si>
    <t>Saddiki, Said</t>
  </si>
  <si>
    <t>Ethics for A-Level</t>
  </si>
  <si>
    <t>Dimmock, Mark</t>
  </si>
  <si>
    <t>Die Europaidee Im Zeitalter der Aufklärung</t>
  </si>
  <si>
    <t>Warlike and Peaceful Societies : The Interaction of Genes and Culture</t>
  </si>
  <si>
    <t>Fog, Agner</t>
  </si>
  <si>
    <t>Dickens's Working Notes for 'Dombey and Son'</t>
  </si>
  <si>
    <t>Laing, Tony</t>
  </si>
  <si>
    <t>Actors and Networks in the Megacity : A Literary Analysis of Urban Narratives</t>
  </si>
  <si>
    <t>More, Prachi</t>
  </si>
  <si>
    <t>On Motion Control of Linear Incremental Hydraulic Actuators</t>
  </si>
  <si>
    <t>Hochwallner, Martin</t>
  </si>
  <si>
    <t>Making a Market Out of a Welfare State : Swedish Local Politicians' Perspectives on Elderly Care Marketisation</t>
  </si>
  <si>
    <t>Guo, Ming</t>
  </si>
  <si>
    <t>Breaking the Unbreakable : Exploiting Loopholes in Bell's Theorem to Hack Quantum Cryptography</t>
  </si>
  <si>
    <t>Jogenfors, Jonathan</t>
  </si>
  <si>
    <t>Immunomodulatory Effects of Probiotic Supplementation During Pregnancy and Infancy in Allergy Prevention Studies</t>
  </si>
  <si>
    <t>Forsberg, Anna</t>
  </si>
  <si>
    <t>The Impact of Survivin, WRAP53&amp;beta</t>
  </si>
  <si>
    <t>Defect-Engineered (Ti,Al)N Thin Films</t>
  </si>
  <si>
    <t>Schramm Benítez, Isabella Citlalli</t>
  </si>
  <si>
    <t>Hereditary Angioedema in Sweden : A National Project</t>
  </si>
  <si>
    <t>Nordenfelt, Patrik</t>
  </si>
  <si>
    <t>Autophagy in Peripheral Neuropathy</t>
  </si>
  <si>
    <t>Osman, Ayman</t>
  </si>
  <si>
    <t>On Energy Efficient Mobile Hydraulic Systems : With Focus on Linear Actuation</t>
  </si>
  <si>
    <t>Heybroek, Kim</t>
  </si>
  <si>
    <t>System-Level Analysis and Design under Uncertainty</t>
  </si>
  <si>
    <t>Ukhov, Ivan</t>
  </si>
  <si>
    <t>Bystander CPR : New Aspects of CPR Training among Students and the Importance of Bystander Education Level on Survival</t>
  </si>
  <si>
    <t>Nord, Anette</t>
  </si>
  <si>
    <t>Treatment Adherence in Asthma and Attention Deficit Hyperactivity Disorder (ADHD), Personality Traits, Beliefs about Medication and Illness Perception</t>
  </si>
  <si>
    <t>Emilsson, Maria</t>
  </si>
  <si>
    <t>Life Situation among Persons Living with Inflammatory Bowel Disease</t>
  </si>
  <si>
    <t>Pihl Lesnovska, Katarina</t>
  </si>
  <si>
    <t>Assembling the Smart Grid : On the Mobilization of Imaginaries, Users and Materialities in a Swedish Demonstration Project</t>
  </si>
  <si>
    <t>Wallsten, Anna</t>
  </si>
  <si>
    <t>Injury Mortality in Sweden</t>
  </si>
  <si>
    <t>Match-Related Risk Factors for Injury in Male Professional Football</t>
  </si>
  <si>
    <t>Bengtsson, Håkan</t>
  </si>
  <si>
    <t>Hyenas of the Limpopo : The Social Politics of Undocumented Movement Across South Africa's Border with Zimbabwe</t>
  </si>
  <si>
    <t>Tshabalala, Xolani</t>
  </si>
  <si>
    <t>Necrotising Enterocolitis : Epidemiology and Imaging</t>
  </si>
  <si>
    <t>Ahle, Margareta</t>
  </si>
  <si>
    <t>Coding to Cure : NMR and Thermodynamic Software Applied to Congenital Heart Disease Research</t>
  </si>
  <si>
    <t>Niklasson, Markus</t>
  </si>
  <si>
    <t>Therapeutic Alliance and Different Treatment Formats When Delivering Internet-Based CBT for Depression</t>
  </si>
  <si>
    <t>Vernmark, Kristofer</t>
  </si>
  <si>
    <t>Inflammation and Tendon Healing</t>
  </si>
  <si>
    <t>Blomgran, Parmis</t>
  </si>
  <si>
    <t>Modellierung und Simulation reibungsbehafteter Strömungen mit freier Oberfläche</t>
  </si>
  <si>
    <t>Lübke, Martin</t>
  </si>
  <si>
    <t>Kleine Windenergieanlagen - Empirische Erkenntnisse und Bestandsaufnahme : Anwendungen, Technik, Akteure</t>
  </si>
  <si>
    <t>Kühn, Paul</t>
  </si>
  <si>
    <t>Outcome of Burn Care : The Mortality Perspective</t>
  </si>
  <si>
    <t>Pompermaier, Laura</t>
  </si>
  <si>
    <t>Deposition of Al-Doped ZnO Films by High Power Impulse Magnetron Sputtering</t>
  </si>
  <si>
    <t>Mickan, Martin</t>
  </si>
  <si>
    <t>Conceptual Design of Complex Hydromechanical Transmissions</t>
  </si>
  <si>
    <t>Uebel, Karl</t>
  </si>
  <si>
    <t>Mechanistic Modelling - a BOLD Response to the FMRI Information Loss Problem</t>
  </si>
  <si>
    <t>Lundengård, Karin</t>
  </si>
  <si>
    <t>Understanding Immigration : Issues and Challenges in an Era of Mass Population Movement</t>
  </si>
  <si>
    <t>Hoskin, Marilyn</t>
  </si>
  <si>
    <t>„Und ich steh immer draußen, vor der Türe!“ : Exklusionsprozesse und biographische Strukturierung von jungen, psychisch kranken, Suchtkranken und wohnungslosen Menschen</t>
  </si>
  <si>
    <t>Masanz, Klaus</t>
  </si>
  <si>
    <t>Partitioning Design Approach for the Reliable Design of Highly Efficient RF Power Amplifiers</t>
  </si>
  <si>
    <t>Lehna, Roshanak</t>
  </si>
  <si>
    <t>(Sustainable) Supply Chain Management at the Base of the Pyramid</t>
  </si>
  <si>
    <t>Khalid, Raja Usman</t>
  </si>
  <si>
    <t>Readiness or Resistance? : Newly Arrived Adult Migrants' Experiences, Meaning Making, and Learning in Sweden</t>
  </si>
  <si>
    <t>Abdulla, Afrah</t>
  </si>
  <si>
    <t>Social and Economic Factors in Decision Making under Uncertainty : Five Essays in Behavioral Economics</t>
  </si>
  <si>
    <t>Posadzy, Kinga</t>
  </si>
  <si>
    <t>Clinical Applications of Synthetic MRI of the Brain</t>
  </si>
  <si>
    <t>Blystad, Ida</t>
  </si>
  <si>
    <t>Electronic Structure of &amp;pi</t>
  </si>
  <si>
    <t>Magnetic Resonance Imaging of Myocardial Deformation and Scarring in Coronary Artery Disease</t>
  </si>
  <si>
    <t>Kihlberg, Johan</t>
  </si>
  <si>
    <t>Von Kant Zu Schelling : Die Beiden Wege des Deutschen Idealismus</t>
  </si>
  <si>
    <t>Vető, Miklós</t>
  </si>
  <si>
    <t>Psychotherapy for Substance Use Disorders - the Importance of Affects</t>
  </si>
  <si>
    <t>Frankl, My</t>
  </si>
  <si>
    <t>Utilisation of Excess Heat Towards a Circular Economy : Implications of Interorganisational Collaborations and Strategic Planning</t>
  </si>
  <si>
    <t>Päivärinne, Sofia</t>
  </si>
  <si>
    <t>Error Analysis of Summation-By-parts Formulations : Dispersion, Transmission and Accuracy</t>
  </si>
  <si>
    <t>Linders, Viktor</t>
  </si>
  <si>
    <t>The Dawn of Dutch : Language Contact in the Western Low Countries Before 1200</t>
  </si>
  <si>
    <t>de Vaan, Michiel</t>
  </si>
  <si>
    <t>Adjective Adverb Interfaces in Romance</t>
  </si>
  <si>
    <t>Hummel, Martin</t>
  </si>
  <si>
    <t>Production Strategy in Project Based Production Within a House-Building Context</t>
  </si>
  <si>
    <t>Jonsson, Henric</t>
  </si>
  <si>
    <t>Climate Vulnerability Assessment Methodology : Agriculture under Climate Change in the Nordic Region</t>
  </si>
  <si>
    <t>Wiréhn, Lotten</t>
  </si>
  <si>
    <t>Unthinking Mastery : Dehumanism and Decolonial Entanglements</t>
  </si>
  <si>
    <t>Singh, Julietta</t>
  </si>
  <si>
    <t>Abfälle in deutschen Fließgewässern : Eintrags- und Austragspfade, Zusammensetzungen, Aufkommen und Vermeidungsmaßnahmen</t>
  </si>
  <si>
    <t>Breitbarth, Marco</t>
  </si>
  <si>
    <t>Sustainable Intensification of Organic and Low-Input Agriculture through Integrated Bioenergy Production : System Analysis, Economic Implications, and Risk Assessment</t>
  </si>
  <si>
    <t>Blumenstein, Benjamin</t>
  </si>
  <si>
    <t>Rassenhygienische Inhalte im „Zentralblatt für die gesamte Zahn-, Mund- und Kieferheilkunde“ (1936-1945)</t>
  </si>
  <si>
    <t>Vigna, Manfred</t>
  </si>
  <si>
    <t>Betriebswirtschaftliche Strategien für die Abfallwirtschaft und Stadtreinigung 2017</t>
  </si>
  <si>
    <t>Euripides und die Heilkunde</t>
  </si>
  <si>
    <t>Moog, Ferdinand Peter</t>
  </si>
  <si>
    <t>Gestalte Dein Gehirn! : Pädagogisch-psychologische Aspekte kreativer Bildungsprozesse</t>
  </si>
  <si>
    <t>Waid, Albin</t>
  </si>
  <si>
    <t>Language Dispersal Beyond Farming</t>
  </si>
  <si>
    <t>Robbeets, Martine</t>
  </si>
  <si>
    <t>Adopting Information Systems Perspectives from Small Organizations</t>
  </si>
  <si>
    <t>Imre, Özgün</t>
  </si>
  <si>
    <t>Blood Flow Specific Assessment of Ventricular Function : Visualization and Quantification Using 4D Flow CMR</t>
  </si>
  <si>
    <t>Grigorescu Fredriksson, Alexandru</t>
  </si>
  <si>
    <t>Molecular Mechanisms of Reward and Aversion</t>
  </si>
  <si>
    <t>Klawonn, Anna</t>
  </si>
  <si>
    <t>Behind the Screen : -Internet-Based Cognitive Behavioural Therapy to Treat Depressive Symptoms in Persons with Heart Failure</t>
  </si>
  <si>
    <t>Lundgren, Johan</t>
  </si>
  <si>
    <t>Tratamiento Biológico de Aguas Residuales: Principios, Modelación y Diseño : Principios, Modelación y Diseño</t>
  </si>
  <si>
    <t>Die ökonomische Dimension des Friedens: Soziale Solidarische Ökonomie</t>
  </si>
  <si>
    <t>Industrial Waste Heat Utilization : Spannungsfeld zwischen Abwärmenutzung und Kraft-Wärme-Kopplung n der produzierenden Automobilindustrie</t>
  </si>
  <si>
    <t>Bornemann, Tobias</t>
  </si>
  <si>
    <t>Synthetischer Zeolith als Anreger der Erhärtungsreaktionen zementartiger Bindemittel</t>
  </si>
  <si>
    <t>Stefan, Otten</t>
  </si>
  <si>
    <t>Intrinsisch verspannte Aluminiumschichten zur Herstellung von tageslichtlenkenden Mikrospiegel-Arrays</t>
  </si>
  <si>
    <t>Jäkel, Andreas</t>
  </si>
  <si>
    <t>Controlling the Growth of Nanoparticles Produced in a High Power Pulsed Plasma</t>
  </si>
  <si>
    <t>Gunnarsson, Rickard</t>
  </si>
  <si>
    <t>Affective Images : Post-Apartheid Documentary Perspectives</t>
  </si>
  <si>
    <t>Kesting, Marietta</t>
  </si>
  <si>
    <t>Toward a Pragmatist Sociology : John Dewey and the Legacy of C. Wright Mills</t>
  </si>
  <si>
    <t>Dunn, Robert G.</t>
  </si>
  <si>
    <t>High-End Performance with Low-End Hardware : Analysis of Massive MIMO Base Station Transceivers</t>
  </si>
  <si>
    <t>Mollén, Christopher</t>
  </si>
  <si>
    <t>Fostering User Involvement in Ontology Alignment and Alignment Evaluation</t>
  </si>
  <si>
    <t>Ivanova, Valentina</t>
  </si>
  <si>
    <t>Wellbeing, Freedom and Social Justice : The Capability Approach Re-Examined</t>
  </si>
  <si>
    <t>Robeyns, Ingrid</t>
  </si>
  <si>
    <t>Basic Knowledge and Conditions on Knowledge</t>
  </si>
  <si>
    <t>McBride, Mark</t>
  </si>
  <si>
    <t>Modernism and the Spiritual in Russian Art : New Perspectives</t>
  </si>
  <si>
    <t>Hardiman, Louise</t>
  </si>
  <si>
    <t>Vertical Readings in Dante's Comedy : Volume 3</t>
  </si>
  <si>
    <t>Information and Empire : Mechanisms of Communication in Russia, 1600-1854</t>
  </si>
  <si>
    <t>Franklin, Simon</t>
  </si>
  <si>
    <t>Science As Social Existence : Heidegger and the Sociology of Scientific Knowledge</t>
  </si>
  <si>
    <t>Kochan, Jeff</t>
  </si>
  <si>
    <t>Long Narrative Songs from the Mongghul of Northeast Tibet : Texts in Mongghul, Chinese, and English</t>
  </si>
  <si>
    <t>Dechun, Li</t>
  </si>
  <si>
    <t>Anglo-Saxon Literary Landscapes : Ecotheory and the Environmental Imagination</t>
  </si>
  <si>
    <t>Estes, Heide</t>
  </si>
  <si>
    <t>Glanz und Blendung : Zur Ästhetik des Heroischen im Drama des Siècle classique</t>
  </si>
  <si>
    <t>Willis, Jakob</t>
  </si>
  <si>
    <t>Klingende Eklats : Skandal und Neue Musik</t>
  </si>
  <si>
    <t>Schürmer, Anna</t>
  </si>
  <si>
    <t>Melting Pots &amp; Mosaics: Children of Immigrants in US-American Literature</t>
  </si>
  <si>
    <t>Heinze, Rüdiger</t>
  </si>
  <si>
    <t>Nano- and Mesoscale Morphology Evolution of Metal Films on Weakly-Interacting Surfaces</t>
  </si>
  <si>
    <t>Lü, Bo</t>
  </si>
  <si>
    <t>Characterising Needs in Health Care Priority Setting</t>
  </si>
  <si>
    <t>Gustavsson, Erik</t>
  </si>
  <si>
    <t>Count on Me! : Mathematical Development, Developmental Dyscalculia and Computer-Based Intervention</t>
  </si>
  <si>
    <t>Olsson, Linda</t>
  </si>
  <si>
    <t>Women in the Silent Cinema : Histories of Fame and Fate</t>
  </si>
  <si>
    <t>Förster, Annette</t>
  </si>
  <si>
    <t>Entwicklung einer neuen Messmethodik zur thermischen Untersuchung von Leitungsbündeln in Fahrzeugbordnetzen</t>
  </si>
  <si>
    <t>Neumeier, Heiko</t>
  </si>
  <si>
    <t>Beitrag zur randnahen Struktur- und Eigenspannungsanalyse in polykristallinen Werkstoffen mit energiedispersiven röntgenografischen Verfahren</t>
  </si>
  <si>
    <t>Liehr, Alexander</t>
  </si>
  <si>
    <t>Cracks in Superalloys</t>
  </si>
  <si>
    <t>Saarimäki, Jonas</t>
  </si>
  <si>
    <t>Kurt Baschwitz : A Pioneer of Communication Studies and Social Psychology</t>
  </si>
  <si>
    <t>van Ginneken, Jaap</t>
  </si>
  <si>
    <t>Medieval Saints and Modern Screens : Divine Visions As Cinematic Experience</t>
  </si>
  <si>
    <t>Spencer-Hall, Alicia</t>
  </si>
  <si>
    <t>Making Light : Haydn, Musical Camp, and the Long Shadow of German Idealism</t>
  </si>
  <si>
    <t>Knapp, Raymond</t>
  </si>
  <si>
    <t>God's Babies : Natalism and Bible Interpretation in Modern America</t>
  </si>
  <si>
    <t>McKeown, John</t>
  </si>
  <si>
    <t>Cultural Heritage Ethics : Between Theory and Practice</t>
  </si>
  <si>
    <t>Constantine, Sandis</t>
  </si>
  <si>
    <t>Resemblance and Representation : An Essay in the Philosophy of Pictures</t>
  </si>
  <si>
    <t>Blumson, Ben</t>
  </si>
  <si>
    <t>Democracy and Power : The Delhi Lectures</t>
  </si>
  <si>
    <t>Chomsky, Noam</t>
  </si>
  <si>
    <t>Stories from Quechan Oral Literature</t>
  </si>
  <si>
    <t>Halpern, A. M.</t>
  </si>
  <si>
    <t>Conservation of Semi-Natural Grasslands : Effects of Different Management Methods on Biodiversity</t>
  </si>
  <si>
    <t>Tälle, Malin</t>
  </si>
  <si>
    <t>Modeling and Control of EGR on Marine Two-Stroke Diesel Engines</t>
  </si>
  <si>
    <t>Llamas, Xavier</t>
  </si>
  <si>
    <t>European Regulation of Aerodrome Safety Managment Systems in the EASA System</t>
  </si>
  <si>
    <t>Pfisterer, Henning</t>
  </si>
  <si>
    <t>Zurück in die Zukunft : Die Bedeutung von Diskursen über „Zukunft“ in der Wissenschaftsgeschichte</t>
  </si>
  <si>
    <t>Freitag, Klaus</t>
  </si>
  <si>
    <t>Einfluss elementarer Mechanismen auf das funktionale Ermüdungsverhalten von Formgedächtnislegierungen</t>
  </si>
  <si>
    <t>Krooß, Philipp</t>
  </si>
  <si>
    <t>Eine Methode zur Kopplung von molekular- und kontinuumsmechanischen Modellen unter Einsatz von Translations- und Rotationsfreiheitsgraden : Die Virtuelle Projektionsmethode</t>
  </si>
  <si>
    <t>Niederhöfer, Florian</t>
  </si>
  <si>
    <t>Einbandfragmente kirchlicher Provenienz aus Kurhessen-Waldeck</t>
  </si>
  <si>
    <t>Wiedemann, Konrad</t>
  </si>
  <si>
    <t>Zwischen "Abriss" und "Invention" : Nordhessen in den Zeichnungen des Landgrafen Moritz</t>
  </si>
  <si>
    <t>Hanschke, Ulrike</t>
  </si>
  <si>
    <t>Abendschule Kassel – eine Schule für Erwachsene im Wandel des regionalen Bildungssystems</t>
  </si>
  <si>
    <t>Biener, Winfried</t>
  </si>
  <si>
    <t>Weighted Restarting Automata</t>
  </si>
  <si>
    <t>Wang, Qichao</t>
  </si>
  <si>
    <t>Schadenfälle am Bau</t>
  </si>
  <si>
    <t>Busch, Antonius</t>
  </si>
  <si>
    <t>Benefit from unobtrusive contexts: Towards the recognition of short and non-periodic activities</t>
  </si>
  <si>
    <t>Jahn, Andreas</t>
  </si>
  <si>
    <t>Ehrenamtliche Beteiligung im Widerspruchsverfahren der Grundsicherung für Arbeitssuchende : Bestandsaufnahme und Erfahrungen aus der Praxis</t>
  </si>
  <si>
    <t>Richter, Alexandra</t>
  </si>
  <si>
    <t>Soziale Auswirkungen schneller Urbanisierung ihre Messung und Bewertung unter besonderer Berücksichtigung von Mobilität und Erreichbarkeit am Fallbeispiel Hanoi</t>
  </si>
  <si>
    <t>Molt, Christiane</t>
  </si>
  <si>
    <t>L' histoire de l'Inra, Entre Science et Politique</t>
  </si>
  <si>
    <t>Cornu, Pierre</t>
  </si>
  <si>
    <t>Mémento de L'assainissement : Mettre en Oeuvre un Service d'assainissement Complet, Durable et Adapté</t>
  </si>
  <si>
    <t>Gabert, Julien</t>
  </si>
  <si>
    <t>Constructing Consumer Knowledge in Market Research : An Ethnography of Epistemics</t>
  </si>
  <si>
    <t>Nilsson, Johan</t>
  </si>
  <si>
    <t>Properties of Multilayered and Multicomponent Nitride Alloys from First Principles</t>
  </si>
  <si>
    <t>Wang, Fei</t>
  </si>
  <si>
    <t>Oxidation Behaviour of MCrAlX Coatings : Effect of Surface Treatment and an Al-Activity Based Life Criterion</t>
  </si>
  <si>
    <t>Zhang, Pimin</t>
  </si>
  <si>
    <t>Rancière's Sentiments</t>
  </si>
  <si>
    <t>Panagia, Davide</t>
  </si>
  <si>
    <t>Chinese Surplus : Biopolitical Aesthetics and the Medically Commodified Body</t>
  </si>
  <si>
    <t>Heinrich, Ari Larissa</t>
  </si>
  <si>
    <t>Resolvent Estimates and Bounds on Eigenvalues for Schrödinger and Dirac Operators</t>
  </si>
  <si>
    <t>Enblom, Alexandra</t>
  </si>
  <si>
    <t>Synthesis and Application of &amp;beta</t>
  </si>
  <si>
    <t>Fatigue of Heavy-Vehicle Engine Materials : Damage Mechanisms, Laboratory Experiments and Life Estimation</t>
  </si>
  <si>
    <t>Norman, Viktor</t>
  </si>
  <si>
    <t>Efficient HTTP-Based Adaptive Streaming of Linear and Interactive Videos</t>
  </si>
  <si>
    <t>Krishnamoorthi, Vengatanathan</t>
  </si>
  <si>
    <t>Silicon Nitride Based Coatings Grown by Reactive Magnetron Sputtering</t>
  </si>
  <si>
    <t>Hänninen, Tuomas</t>
  </si>
  <si>
    <t>Tendon Healing : Mechanical Loading, Microdamage and Gene Expression</t>
  </si>
  <si>
    <t>Hammerman, Malin</t>
  </si>
  <si>
    <t>Organs-On-chips for the Pharmaceutical Development Process : Design Perspectives and Implementations</t>
  </si>
  <si>
    <t>Christoffersson, Jonas</t>
  </si>
  <si>
    <t>Arthroplasty in Elbow Fracture Treatment</t>
  </si>
  <si>
    <t>Nestorson, Jens</t>
  </si>
  <si>
    <t>Algorithms for Magnetic Resonance Imaging in Radiotherapy</t>
  </si>
  <si>
    <t>Sjölund, Jens</t>
  </si>
  <si>
    <t>Programming Abstractions and Optimization Techniques for GPU-Based Heterogeneous Systems</t>
  </si>
  <si>
    <t>Li, Lu</t>
  </si>
  <si>
    <t>Long-Term Prognostic and Predictive Factors in Hormone Receptor Positive Breast Cancer</t>
  </si>
  <si>
    <t>Fohlin, Helena</t>
  </si>
  <si>
    <t>Quantifying Risk in Epidemiological and Ecological Contexts</t>
  </si>
  <si>
    <t>Sellman, Stefan</t>
  </si>
  <si>
    <t>Simulation-Based Optimization of a Series Hydraulic Hybrid Vehicle</t>
  </si>
  <si>
    <t>Baer, Katharina</t>
  </si>
  <si>
    <t>Fat-Referenced MRI : Quantitative MRI for Tissue Characterization and Volume Measurement</t>
  </si>
  <si>
    <t>Romu, Thobias</t>
  </si>
  <si>
    <t>Cooking Data : Culture and Politics in an African Research World</t>
  </si>
  <si>
    <t>Biruk, Cal (Crystal)</t>
  </si>
  <si>
    <t>Electronic and Structural Properties of Nanoclusters</t>
  </si>
  <si>
    <t>Tal, Alexey</t>
  </si>
  <si>
    <t>Appetite in Patients with Heart Failure : Assessment, Prevalence and Related Factors</t>
  </si>
  <si>
    <t>Andreae, Christina</t>
  </si>
  <si>
    <t>Synthesis and Characterization of Magnetic Nanolaminated Carbides</t>
  </si>
  <si>
    <t>Petruhins, Andrejs</t>
  </si>
  <si>
    <t>Charge and Energy Transport in Disordered Organic Semiconductors</t>
  </si>
  <si>
    <t>Abdalla, Hassan</t>
  </si>
  <si>
    <t>Erfolgsfaktoren für die Nutzung von Projektwissen zur Steigerung der Wettbewerbsfähigkeit von Technologie- und Dienstleistungsunternehmen</t>
  </si>
  <si>
    <t>Luchter, Ralf</t>
  </si>
  <si>
    <t>Symposium on Breeding for Diversification : A Joint Meeting of the EUCARPIA Section, Organic and Low-Input Agriculture, ECO-PB, LIVESEED, INSUSFAR, DIVERSify, HealthyMinorCereals, ReMIX, and Wheatamix University of Kassel, 19th–21st February 2018, Witzenhausen, Germany</t>
  </si>
  <si>
    <t>Baćanović-Šišić, Jelena</t>
  </si>
  <si>
    <t>Improving Cementitious Properties of Blended Pozzolan Based Materials for Construction of Low Cost Buildings in Mbeya Region, Tanzania</t>
  </si>
  <si>
    <t>Chengula, Duwa Hamisi</t>
  </si>
  <si>
    <t>Auswirkungen Erneuerbarer Energien auf den Erholungswert von Mittelgebirgslandschaften am Beispiel von Nordhessen</t>
  </si>
  <si>
    <t>Grebe, Christina</t>
  </si>
  <si>
    <t>Communication about the Heart Failure Trajectory in Patients, Their Families and Health Care Professionals</t>
  </si>
  <si>
    <t>Hjelmfors, Lisa</t>
  </si>
  <si>
    <t>Automated Assessment of Blood Flow in the Cardiovascular System Using 4D Flow MRI</t>
  </si>
  <si>
    <t>Bustamante, Mariana</t>
  </si>
  <si>
    <t>Studying Simulations with Distributed Cognition</t>
  </si>
  <si>
    <t>Rybing, Jonas</t>
  </si>
  <si>
    <t>Electroosmotic Pumps with Electrochemically Active Electrodes</t>
  </si>
  <si>
    <t>Erlandsson, Per</t>
  </si>
  <si>
    <t>Techniken und Grenzen interaktiver Architekturvisualisierung bei der digitalen Rekonstruktion verlorener Stadträume</t>
  </si>
  <si>
    <t>Pelz, Pierre Manuel</t>
  </si>
  <si>
    <t>Das Satanssturzmotiv in der Englischen Literatur : Ein historischer Längsschnitt im Kontext von John Miltons Paradise Lost</t>
  </si>
  <si>
    <t>Oppermann, Eva</t>
  </si>
  <si>
    <t>DFT Modulated Filter Bank Transceivers for Interweave and Underlay Cognitive Radio</t>
  </si>
  <si>
    <t>Mansour, Nour</t>
  </si>
  <si>
    <t>Die ganze Palette : Biologische Vielfalt als Stärke der ökologischen Landwirtschaft. Dokumentationsband der 25. Witzenhäuser Konferenz 5. bis 9. Dezember 2017</t>
  </si>
  <si>
    <t>Projektgruppe Die ganze Palette - Biologische Vielfalt als Stärke der ökologischen Landwirtschaft</t>
  </si>
  <si>
    <t>A Nation on the Line : Call Centers As Postcolonial Predicaments in the Philippines</t>
  </si>
  <si>
    <t>Padios, Jan M.</t>
  </si>
  <si>
    <t>A Finite Element Model of the Human Head for Simulation of Bone-Conducted Sound</t>
  </si>
  <si>
    <t>Chang, You</t>
  </si>
  <si>
    <t>Asking the Public : Citizens´ Views on Priority Setting and Resource Allocation in Democratically Governed Healthcare</t>
  </si>
  <si>
    <t>Broqvist, Mari</t>
  </si>
  <si>
    <t>Hemostatic Function and Inflammatory Activation after Weaning from Cardio Pulmonary Bypass</t>
  </si>
  <si>
    <t>Olsson, Anki</t>
  </si>
  <si>
    <t>Impact of Pain and Evaluation of Education and Self-Care in Patients with Head and Neck Cancer</t>
  </si>
  <si>
    <t>Söderlund Schaller, Anne</t>
  </si>
  <si>
    <t>Patient Safety - Cultural Perspectives</t>
  </si>
  <si>
    <t>Danielsson, Marita</t>
  </si>
  <si>
    <t>Conformational Changes During Potassium-Channel Gating</t>
  </si>
  <si>
    <t>Renhorn, Jakob</t>
  </si>
  <si>
    <t>Identification of Genes and Regulators That Are Shared Across T Cell Associated Diseases</t>
  </si>
  <si>
    <t>Gawel, Danuta R.</t>
  </si>
  <si>
    <t>Uncertainty Quantification for Wave Propagation and Flow Problems with Random Data</t>
  </si>
  <si>
    <t>Wahlsten, Markus</t>
  </si>
  <si>
    <t>Vinnande Bilder! : Teckningstävlingar För Barn 1938-2000</t>
  </si>
  <si>
    <t>Låby, Elin</t>
  </si>
  <si>
    <t>Using Connected Vehicles in Variable Speed Limit Systems: : System Design and Effects</t>
  </si>
  <si>
    <t>Grumert, Ellen F.</t>
  </si>
  <si>
    <t>Optimizing Massive MIMO : Precoder Design and Power Allocation</t>
  </si>
  <si>
    <t>Cheng, Hei Victor</t>
  </si>
  <si>
    <t>Trust and Mistrust in the Economies of the China-Russia Borderlands</t>
  </si>
  <si>
    <t>The Sustainable City Becomes Climate-Smart : How Smart City Ideas Reshape Urban Environmental Governance</t>
  </si>
  <si>
    <t>Parks, Darcy</t>
  </si>
  <si>
    <t>Mesoporous Material Systems for Catalysis and Drug Delivery</t>
  </si>
  <si>
    <t>Atakan, Aylin</t>
  </si>
  <si>
    <t>Being and Becoming a Teacher in Initial Literacy and Second Language Education for Adults</t>
  </si>
  <si>
    <t>Colliander, Helena</t>
  </si>
  <si>
    <t>Läkare, lärande Och Interaktion I Hälso-Och Sjukvårdspraktiker</t>
  </si>
  <si>
    <t>Thörne, Karin</t>
  </si>
  <si>
    <t>The Jewish Unions in America : Pages of History and Memories</t>
  </si>
  <si>
    <t>Weinstein, Bernard</t>
  </si>
  <si>
    <t>An Anglo-Norman Reader</t>
  </si>
  <si>
    <t>Bliss, Jane</t>
  </si>
  <si>
    <t>Text Genetics in Literary Modernism and Other Essays</t>
  </si>
  <si>
    <t>Gabler, Hans Walter</t>
  </si>
  <si>
    <t>Human and Machine Consciousness</t>
  </si>
  <si>
    <t>Gamez, David</t>
  </si>
  <si>
    <t>Yeats's Legacies : Yeats Annual No. 21</t>
  </si>
  <si>
    <t>Remote Capture : Digitising Documentary Heritage in Challenging Locations</t>
  </si>
  <si>
    <t>Sutherland, Patrick</t>
  </si>
  <si>
    <t>Mobilities, Boundaries, and Travelling Ideas : Rethinking Translocality Beyond Central Asia and the Caucasus</t>
  </si>
  <si>
    <t>Stephan-Emmrich, Manja</t>
  </si>
  <si>
    <t>Tales of Darkness and Light : Soso Tham's the Old Days of the Khasis</t>
  </si>
  <si>
    <t>Tham, Soso</t>
  </si>
  <si>
    <t>Growing up on the Trobriand Islands in Papua New Guinea : Childhood and Educational Ideologies in Tauwema</t>
  </si>
  <si>
    <t>Senft, Barbara</t>
  </si>
  <si>
    <t>Scalable and Efficient Probabilistic Topic Model Inference for Textual Data</t>
  </si>
  <si>
    <t>Magnusson, Måns</t>
  </si>
  <si>
    <t>Insulin Signalling in Human Adipocytes and Its Interplay with Beta-Adrenergic Control of Lipolysis</t>
  </si>
  <si>
    <t>Karlsson, Cecilia</t>
  </si>
  <si>
    <t>Facing Dementia As a We : Investigating Couples' Challenges and Communicative Strategies for Managing Dementia</t>
  </si>
  <si>
    <t>Nilsson, Elin</t>
  </si>
  <si>
    <t>Bacterial Epithelial Interaction in Intestinal Inflammation</t>
  </si>
  <si>
    <t>Yakymenko Alkaissi, Lina</t>
  </si>
  <si>
    <t>Learning Convolution Operators for Visual Tracking</t>
  </si>
  <si>
    <t>Danelljan, Martin</t>
  </si>
  <si>
    <t>Self-Assembled and Selective-Area Growth of Group III-Nitride Semiconductor Nanorods by Magnetron Sputter Epitaxy</t>
  </si>
  <si>
    <t>Serban, Elena Alexandra</t>
  </si>
  <si>
    <t>Maternal Obesity, Duration of Labor and the Role of Leptin</t>
  </si>
  <si>
    <t>Carlhäll, Sara</t>
  </si>
  <si>
    <t>Endocannabinoids and Related Lipids in Chronic Pain : Analytical and Clinical Aspects</t>
  </si>
  <si>
    <t>Stensson, Niclas</t>
  </si>
  <si>
    <t>Zwischen Annäherung und Distanz : 30 Jahre Deutsch-Russische Kulturbeziehungen (1988 – 2018) am regionalen Beispiel Kassel</t>
  </si>
  <si>
    <t>Gorzka, Gabriele</t>
  </si>
  <si>
    <t>Sven Effert (1922 – 2000) – Leben und Werk</t>
  </si>
  <si>
    <t>Weber, Maren Friederike</t>
  </si>
  <si>
    <t>... singen soll sie können : Musikalische Kompetenzen für die Primarstufe am Beispiel Singen und Gitarre</t>
  </si>
  <si>
    <t>Pöcksteiner, Richard</t>
  </si>
  <si>
    <t>Economic Assessment of Mangrove Forest Uses : The Case of Wunbaike Mangrove Forest in Rakhine State, Myanmar</t>
  </si>
  <si>
    <t>San, Cho Cho</t>
  </si>
  <si>
    <t>Salafismus – eine Herausforderung in Theologischen Gesprächen</t>
  </si>
  <si>
    <t>Kirbach, Lena</t>
  </si>
  <si>
    <t>Ja, Freund, das ist hier die Arbeitswelt : Das Arbeitswelterleben von Fachoberschülerinnen und Fachoberschülern im betrieblichen Praktikum</t>
  </si>
  <si>
    <t>Langer, Jan</t>
  </si>
  <si>
    <t>Optimization of Unit Commitment and Economic Dispatch in Microgrids Based on Genetic Algorithm and Mixed Integer Linear Programming</t>
  </si>
  <si>
    <t>Nemati, Moshen Shiralizadeh</t>
  </si>
  <si>
    <t>Making the Medieval Relevant : How Medieval Studies Contribute to Improving Our Understanding of the Present</t>
  </si>
  <si>
    <t>Jones, Chris</t>
  </si>
  <si>
    <t>The Poetry and Prose of Wang Wei : Volume I</t>
  </si>
  <si>
    <t>Poetics and Politics : Net Structures and Agencies in Early Modern Drama</t>
  </si>
  <si>
    <t>Bernhart, Toni</t>
  </si>
  <si>
    <t>Esse 2017 : Proceedings of the International Conference on Environmental Science and Sustainable Energy Ed. by ZhaoYang Dong</t>
  </si>
  <si>
    <t>Wang, Yong</t>
  </si>
  <si>
    <t>Ontological Terror : Blackness, Nihilism, and Emancipation</t>
  </si>
  <si>
    <t>Warren, Calvin L.</t>
  </si>
  <si>
    <t>Exploring the Role of Visualization in Climate Change Communication - an Audience Perspective</t>
  </si>
  <si>
    <t>Ballantyne, Anne Gammelgaard</t>
  </si>
  <si>
    <t>Genetic Mechanisms Regulating the Spatiotemporal Modulation of Proliferation Rate and Mode in Neural Progenitors and Daughter Cells During Embryonic CNS Development</t>
  </si>
  <si>
    <t>Yaghmaeian Salmani, Behzad</t>
  </si>
  <si>
    <t>Cultures of Computer Game Concerns : The Child Across Families, Law, Science and Industry</t>
  </si>
  <si>
    <t>Sörensen, Estrid</t>
  </si>
  <si>
    <t>Lean Remanufacturing : Reducing Process Lead Time</t>
  </si>
  <si>
    <t>Kurilova-Palisaitiene, Jelena</t>
  </si>
  <si>
    <t>Mechanical and Thermal Stability of Hard Nitride Coatings</t>
  </si>
  <si>
    <t>Chen, Yu-Hsiang</t>
  </si>
  <si>
    <t>Machine Learning-Based Bug Handling in Large-Scale Software Development</t>
  </si>
  <si>
    <t>Jonsson, Leif</t>
  </si>
  <si>
    <t>Neurotoxic Side Effects and Impact on Daily Life in Patients with Colorectal Cancer with Adjuvant Oxaliplatin-Based Chemotherapy</t>
  </si>
  <si>
    <t>Drott, Jenny</t>
  </si>
  <si>
    <t>Metaproteogenomics-Guided Enzyme Discovery : Targeted Identification of Novel Proteases in Microbial Communities</t>
  </si>
  <si>
    <t>Johansson, Mikaela</t>
  </si>
  <si>
    <t>Energy Efficiency in Swedish SMEs : Exploring Barriers, Knowledge Creation and the Role of Municipal Energy Efficiency Programs</t>
  </si>
  <si>
    <t>Backman, Fredrik</t>
  </si>
  <si>
    <t>The High Dynamic Range Imaging Pipeline : Tone-Mapping, Distribution, and Single-exposure Reconstruction</t>
  </si>
  <si>
    <t>Eilertsen, Gabriel</t>
  </si>
  <si>
    <t>Prosodic and Phonological Ability in Children with Developmental Language Disorder and Children with Hearing Impairment : In the Context of Word and Nonword Repetition</t>
  </si>
  <si>
    <t>Sundström, Simon</t>
  </si>
  <si>
    <t>Site and Mechanism of Action of Resin Acids on Voltage-Gated Ion Channels</t>
  </si>
  <si>
    <t>Silverå Ejneby, Malin</t>
  </si>
  <si>
    <t>Challenges in Partially Automated Driving : A Human Factors Perspective</t>
  </si>
  <si>
    <t>Solís Marcos, Ignacio</t>
  </si>
  <si>
    <t>Doping and Density of States Engineering for Organic Thermoelectrics</t>
  </si>
  <si>
    <t>Zuo, Guangzheng</t>
  </si>
  <si>
    <t>Logistics Management Operationalised in a Healthcare Context : Understanding Care Chain Effectiveness Through Logistics Management Theories and Systems Theory</t>
  </si>
  <si>
    <t>Wiger, Malin</t>
  </si>
  <si>
    <t>Tailoring Visualization Applications for Tasks and Users</t>
  </si>
  <si>
    <t>Bock, Alexander</t>
  </si>
  <si>
    <t>Synthesis and Characterization of Mo- and W-Based Atomic Laminates</t>
  </si>
  <si>
    <t>Meshkian, Rahele</t>
  </si>
  <si>
    <t>On Protein Structure, Function and Modularity from an Evolutionary Perspective</t>
  </si>
  <si>
    <t>Pilstål, Robert</t>
  </si>
  <si>
    <t>Regulation of Inflammation and Angiogenesis in the Cornea</t>
  </si>
  <si>
    <t>Mukwaya, Anthony</t>
  </si>
  <si>
    <t>Combinatorics and Topology Related to Involutions in Coxeter Groups</t>
  </si>
  <si>
    <t>Hansson, Mikael</t>
  </si>
  <si>
    <t>Blended Cognitive Behavior Therapy : Efficacy and Acceptability for Treating Depression in the Adult and Adolescent Population</t>
  </si>
  <si>
    <t>Topooco, Naira</t>
  </si>
  <si>
    <t>Perspective Correct Hand-Held Augmented Reality for Improved Graphics and Interaction</t>
  </si>
  <si>
    <t>Samini, Ali</t>
  </si>
  <si>
    <t>Beteiligung als Balanceakt : Großgruppenveranstaltungen im Unternehmen. Untersuchung zu Teilnehmerperspektiven auf die Einflussfaktoren der Zielerreichung und Erstellung eines Kompasses für Anwender</t>
  </si>
  <si>
    <t>Steinbach, Angela</t>
  </si>
  <si>
    <t>Der 4D-Kompass für Großgruppenveranstaltungen in Unternehmen</t>
  </si>
  <si>
    <t>Kontrollierte Planungsprozesse : Entwicklung eines Systems zur Reduktion von Störungen und Optimierung von Planungsabläufen</t>
  </si>
  <si>
    <t>Olender, Margarete Dorothea</t>
  </si>
  <si>
    <t>Partizipation und Transparenz der europäischen Chemikalienregulierung : Juristische Analyse der Inklusionsleistung der europäischen Chemikalienregulierungsbehörden</t>
  </si>
  <si>
    <t>Below, Nicola</t>
  </si>
  <si>
    <t>Internationalität als Herausforderung und Chance : Eine organisationstheoretische Betrachtung des Diversity Managements an deutschen Hochschulen am Beispiel von internationalen Masterstudiengängen im Bereich der Agrarwissenschaften</t>
  </si>
  <si>
    <t>Der Maler und Graphiker Gerhard Sy (1886 – 1936) : Ein Künstlerleben in Zeiten des Umbruchs</t>
  </si>
  <si>
    <t>Engelmann, Klaus</t>
  </si>
  <si>
    <t>Die Öffentlichkeitsbeteiligung in Planungs- und Genehmigungsverfahren dezentraler Energieanlagen</t>
  </si>
  <si>
    <t>Huge, Antonia</t>
  </si>
  <si>
    <t>Organic Computing : Doctoral Dissertation Colloquium 2017</t>
  </si>
  <si>
    <t>Beiträge zur Konzeption des Fähigkeitsmanagements für die spanlose Fertigung</t>
  </si>
  <si>
    <t>Witte, Johanna</t>
  </si>
  <si>
    <t>#superluogoMARCHE : programmatic design studio summer semester 2017</t>
  </si>
  <si>
    <t>Otto, Florian</t>
  </si>
  <si>
    <t>Die Möglichkeit der Beauftragung von Maßnahmeträgern im SGB III und SGB II unter Anwendung des Kartellvergaberechts</t>
  </si>
  <si>
    <t>Dickmeis, Kamila Maria</t>
  </si>
  <si>
    <t>Psychological Resources and Risk Factors in Coronary Heart Disease : Assessment, Impact and the Influence of Mindfulness Training</t>
  </si>
  <si>
    <t>Lundgren, Oskar</t>
  </si>
  <si>
    <t>Socrates, or on Human Knowledge : Bilingual Edition</t>
  </si>
  <si>
    <t>Luzzatto, Simone</t>
  </si>
  <si>
    <t>Micro-Foundations of Value-based Pricing and Selling</t>
  </si>
  <si>
    <t>Kienzler, Mario</t>
  </si>
  <si>
    <t>Quantum Chemical Studies of Deposition and Catalytic Surface Reactions</t>
  </si>
  <si>
    <t>Kalered, Emil</t>
  </si>
  <si>
    <t>Theatre Cultures Within Globalising Empires : Looking at Early Modern England and Spain</t>
  </si>
  <si>
    <t>Dividing Texts : Conventions of Visual Text-Organisation in Nepalese and North Indian Manuscripts</t>
  </si>
  <si>
    <t>Bhattarai, Bidur</t>
  </si>
  <si>
    <t>Scepticism and Anti-Scepticism in Medieval Jewish Philosophy and Thought</t>
  </si>
  <si>
    <t>Wirklichkeit Oder Konstruktion? : Sprachtheoretische und Interdisziplinäre Aspekte Einer Brisanten Alternative</t>
  </si>
  <si>
    <t>Felder, Ekkehard</t>
  </si>
  <si>
    <t>The Works of Li Qingzhao : China's Foremost Woman Poet</t>
  </si>
  <si>
    <t>Egan, Ronald</t>
  </si>
  <si>
    <t>The Discursive Construction of Identities on- and Offline : Personal - Group - Collective</t>
  </si>
  <si>
    <t>Bös, Birte</t>
  </si>
  <si>
    <t>Fire and Snow : Climate Fiction from the Inklings to Game of Thrones</t>
  </si>
  <si>
    <t>DiPaolo, Marc</t>
  </si>
  <si>
    <t>Ghostpeakons</t>
  </si>
  <si>
    <t>Shuaib, Budor</t>
  </si>
  <si>
    <t>The Bumpy Road to Universal Health Coverage : Access to Primary and Emergency Care in Rural Tropical Ecuador</t>
  </si>
  <si>
    <t>Eckhardt, Martin</t>
  </si>
  <si>
    <t>On the Performance of Stratified Ventilation</t>
  </si>
  <si>
    <t>Larsson, Ulf</t>
  </si>
  <si>
    <t>Continuous Models for Cameras and Inertial Sensors</t>
  </si>
  <si>
    <t>Ovrén, Hannes</t>
  </si>
  <si>
    <t>Subsyndromal Depression Hos äldre äldre Personer</t>
  </si>
  <si>
    <t>Ludvigsson, Mikael</t>
  </si>
  <si>
    <t>Subsyndromal Depression in Very Old Persons</t>
  </si>
  <si>
    <t>Berättelseskrivande I Skolan : Att Studera, Beskriva Och Utveckla Ett Kunnande</t>
  </si>
  <si>
    <t>Thorsten, Anja</t>
  </si>
  <si>
    <t>Persuasion in Public Discourse : Cognitive and Functional Perspectives</t>
  </si>
  <si>
    <t>Pelclová, Jana</t>
  </si>
  <si>
    <t>Zwischenstadtland Schweiz : Zur politischen Steuerung der suburbanen Entwicklung in Schweizer Gemeinden</t>
  </si>
  <si>
    <t>Devecchi, Lineo Umberto</t>
  </si>
  <si>
    <t>The Poetry of Ruan Ji and Xi Kang</t>
  </si>
  <si>
    <t>SignGram Blueprint : A Guide to Sign Language Grammar Writing</t>
  </si>
  <si>
    <t>Quer, Josep</t>
  </si>
  <si>
    <t>Commercial Communication in the Digital Age : Information or Disinformation?</t>
  </si>
  <si>
    <t>Siegert, Gabriele</t>
  </si>
  <si>
    <t>Beyond Priesthood : Religious Entrepreneurs and Innovators in the Roman Empire</t>
  </si>
  <si>
    <t>Gordon, Richard L.</t>
  </si>
  <si>
    <t>Superconductors at the Nanoscale : From Basic Research to Applications</t>
  </si>
  <si>
    <t>Wördenweber, Roger</t>
  </si>
  <si>
    <t>Organized Secularism in the United States : New Directions in Research</t>
  </si>
  <si>
    <t>Cragun, Ryan T.</t>
  </si>
  <si>
    <t>Sprache in Wissenschaft und Dichtung : Diskursive Formationen Von Mathematik, Physik, Logik und Dichtung Im 17. und 18. Jahrhundert</t>
  </si>
  <si>
    <t>Illi, Manuel</t>
  </si>
  <si>
    <t>Die Werkstatt des Dichters : Imaginationsräume Literarischer Produktion</t>
  </si>
  <si>
    <t>Kastberger, Klaus</t>
  </si>
  <si>
    <t>The Psychology of Social Networking Vol. 2 : Identity and Relationships in Online Communities</t>
  </si>
  <si>
    <t>The Linguistic Integration of Adult Migrants / l'intégration Linguistique des Migrants Adultes : Some Lessons from Research / les Enseignements de la Recherche</t>
  </si>
  <si>
    <t>Maria in Hymnus und Sequenz : Interdisziplinäre Mediävistische Perspektiven</t>
  </si>
  <si>
    <t>Rothenberger, Eva</t>
  </si>
  <si>
    <t>Biodiversity in Agricultural Landscapes of Southeastern Brazil</t>
  </si>
  <si>
    <t>Gheler-Costa, Carla</t>
  </si>
  <si>
    <t>Current Trends in Historical Sociolinguistics</t>
  </si>
  <si>
    <t>Russi, Cinzia</t>
  </si>
  <si>
    <t>Doing Applied Linguistics : Enabling Transdisciplinary Communication</t>
  </si>
  <si>
    <t>Perrin, Daniel</t>
  </si>
  <si>
    <t>Planning to Cope with Tropical and Subtropical Climate Change</t>
  </si>
  <si>
    <t>Tiepolo, Maurizio</t>
  </si>
  <si>
    <t>Augmented Reality : Reflections on Its Contribution to Knowledge Formation</t>
  </si>
  <si>
    <t>Ariso, José María</t>
  </si>
  <si>
    <t>Western-Pontic Culture Ambience and Pattern : In Memory of Eugen Comsa</t>
  </si>
  <si>
    <t>Nikolova, Lolita</t>
  </si>
  <si>
    <t>Farewell to Shulamit : Spatial and Social Diversity in the Song of Songs</t>
  </si>
  <si>
    <t>Wilke, Carsten</t>
  </si>
  <si>
    <t>Commentary on the Gospels : English Translation and Introduction</t>
  </si>
  <si>
    <t>Fortunatianus Aquileiensis, Fortunatianus</t>
  </si>
  <si>
    <t>Embodying the Vedas : Traditional Vedic Schools of Contemporary Maharashtra</t>
  </si>
  <si>
    <t>Larios, Borayin</t>
  </si>
  <si>
    <t>A Prehistory of Hinduism</t>
  </si>
  <si>
    <t>Devadevan, Manu V.</t>
  </si>
  <si>
    <t>Play Development in Children with Disabilties</t>
  </si>
  <si>
    <t>Besio, Serenella</t>
  </si>
  <si>
    <t>Yearbook of the Maimonides Centre for Advanced Studies. 2017 : Yearbook of the Maimonides Centre for Advanced Studies</t>
  </si>
  <si>
    <t>Rebiger, Bill</t>
  </si>
  <si>
    <t>Zwischen Literatur und Naturwissenschaft : Debatten - Probleme - Visionen 1680-1820</t>
  </si>
  <si>
    <t>Freiburg, Rudolf</t>
  </si>
  <si>
    <t>Filmische Poetiken der Schuld : Die Audiovisuelle Anklage der Sinne Als Modalität des Gemeinschaftsempfindens</t>
  </si>
  <si>
    <t>Grotkopp, Matthias</t>
  </si>
  <si>
    <t>Writing Matters : Presenting and Perceiving Monumental Inscriptions in Antiquity and the Middle Ages</t>
  </si>
  <si>
    <t>Berti, Irene</t>
  </si>
  <si>
    <t>Deep Stories : Practicing, Teaching, and Learning Anthropology with Digital Storytelling</t>
  </si>
  <si>
    <t>Nuñez-Janes, Mariela</t>
  </si>
  <si>
    <t>Derrida on Being As Presence : Questions and Quests</t>
  </si>
  <si>
    <t>White, David A.</t>
  </si>
  <si>
    <t>Manuscripts and Archives : Comparative Views on Record-Keeping</t>
  </si>
  <si>
    <t>Bausi, Alessandro</t>
  </si>
  <si>
    <t>The Arts and Crafts of Literacy : Islamic Manuscript Cultures in Sub-Saharan Africa</t>
  </si>
  <si>
    <t>Brigaglia, Andrea</t>
  </si>
  <si>
    <t>Institutional Change in the Public Sphere : Views on the Nordic Model</t>
  </si>
  <si>
    <t>Jewish Manuscript Cultures : New Perspectives</t>
  </si>
  <si>
    <t>Wandrey, Irina</t>
  </si>
  <si>
    <t>Linear Algebra : A Course for Physicists and Engineers</t>
  </si>
  <si>
    <t>Mathai, Arak M.</t>
  </si>
  <si>
    <t>Digital Papyrology I : Methods, Tools and Trends</t>
  </si>
  <si>
    <t>Reggiani, Nicola</t>
  </si>
  <si>
    <t>IFLA's First Fifty Years : Achievement and Challenge in International Librarianship</t>
  </si>
  <si>
    <t>Koops, Willem Roelf Henderikus</t>
  </si>
  <si>
    <t>Le Diplomate Au Travail : Entscheidungsprozesse, Information und Kommunikation Im Umkreis des Westfälischen Friedenskongresses</t>
  </si>
  <si>
    <t>Babel, Rainer</t>
  </si>
  <si>
    <t>Ninth European Powder Diffraction Conference : Prague, September 2-5 2004</t>
  </si>
  <si>
    <t>Walter de Gruyter</t>
  </si>
  <si>
    <t>Fifth Size Strain Conference. Diffraction Analysis of the Microstructure of Materials : Garmisch-Partenkirchen, October 7-9 2007</t>
  </si>
  <si>
    <t>Tenth European Powder Diffraction Conference : Geneva, September 1-4 2006</t>
  </si>
  <si>
    <t>Eleventh European Powder Diffraction Conference : Warsaw, September 19-22 2008</t>
  </si>
  <si>
    <t>Blind Massive MIMO Base Stations : Downlink Transmission and Jamming</t>
  </si>
  <si>
    <t>Karlsson, Marcus</t>
  </si>
  <si>
    <t>The British and Irish Ruling Class 1660-1945 Vol. 2</t>
  </si>
  <si>
    <t>Wasson, Ellis A.</t>
  </si>
  <si>
    <t>Muslims and Christians in the Bulgarian Rhodopes : Studies on Religious (Anti)Syncretism</t>
  </si>
  <si>
    <t>Lubanska, Magdalena</t>
  </si>
  <si>
    <t>Users' Needs Report on Play for Children with Disabilities : Parents' and Children's Views</t>
  </si>
  <si>
    <t>Allodi Westling, Mara</t>
  </si>
  <si>
    <t>Advanced Composite Materials: Properties and Applications</t>
  </si>
  <si>
    <t>Bafekrpour, Ehsan</t>
  </si>
  <si>
    <t>Europe in Green : European Environmental Democracy</t>
  </si>
  <si>
    <t>Novel Molecular Approaches to Target Microbial Virulence</t>
  </si>
  <si>
    <t>Holban, Alina Maria</t>
  </si>
  <si>
    <t>The Roots of Respect : A Historic-Philosophical Itinerary</t>
  </si>
  <si>
    <t>Giorgini, Giovanni</t>
  </si>
  <si>
    <t>Weißbuch Konservative Orthopädie und Unfallchirurgie</t>
  </si>
  <si>
    <t>Psczolla, Matthias</t>
  </si>
  <si>
    <t>The Concept of Constitution in the History of Political Thought</t>
  </si>
  <si>
    <t>Górnisiewicz, Arkadiusz</t>
  </si>
  <si>
    <t>Human Computer Confluence : Transforming Human Experience Through Symbiotic Technologies</t>
  </si>
  <si>
    <t>Gaggioli, Andrea</t>
  </si>
  <si>
    <t>Kinetic Landscapes : The Cide Archaeological Project: Surveying the Turkish Western Black Sea Region</t>
  </si>
  <si>
    <t>Düring, Bleda S.</t>
  </si>
  <si>
    <t>Barriers to Play and Recreation for Children and Young People with Disabilities : Exploring Environmental Factors</t>
  </si>
  <si>
    <t>Barron, Carol</t>
  </si>
  <si>
    <t>Measure Theory in Non-Smooth Spaces</t>
  </si>
  <si>
    <t>Gigli, Nicola</t>
  </si>
  <si>
    <t>Dynamics of Architecture in Late Baroque Rome : Cardinal Pietro Ottoboni at the Cancelleria</t>
  </si>
  <si>
    <t>Olszewski, Edward</t>
  </si>
  <si>
    <t>Non-Extensive Entropy Econometrics for Low Frequency Series : National Accounts-Based Inverse Problems</t>
  </si>
  <si>
    <t>Bwanakare, Second</t>
  </si>
  <si>
    <t>Shape Optimization and Spectral Theory</t>
  </si>
  <si>
    <t>Henrot, Antoine</t>
  </si>
  <si>
    <t>Theater Im Gespräch : Sprachliche Publikumspraktiken in der Theaterpause</t>
  </si>
  <si>
    <t>Gerwinski, Jan</t>
  </si>
  <si>
    <t>Moderate Fundamentalists : Ahmadiyya Muslim Jama'at in the Lens of Cognitive Science of Religion</t>
  </si>
  <si>
    <t>Upal, Muhammad Afzal</t>
  </si>
  <si>
    <t>Governance of a Distant Province in the Middle Ages : Case Study on Upper Lusatia</t>
  </si>
  <si>
    <t>Fokt, Krzysztof</t>
  </si>
  <si>
    <t>The British and Irish Ruling Class 1660-1945 Vol. 1</t>
  </si>
  <si>
    <t>Un(intended) Language Planning in a Globalising World: Multiple Levels of Players at Work</t>
  </si>
  <si>
    <t>CHUA Siew Kheng, Catherine</t>
  </si>
  <si>
    <t>Health Promotion at School : Pedagogical Aspects and Practical Implications</t>
  </si>
  <si>
    <t>Knisel, Elke</t>
  </si>
  <si>
    <t>Proceedings from the ICERP 2016 : International Conference on Environmental Research and Public Health</t>
  </si>
  <si>
    <t>Zuo, Yuegang</t>
  </si>
  <si>
    <t>Recent Developments in Nonlocal Theory</t>
  </si>
  <si>
    <t>Palatucci, Giampiero</t>
  </si>
  <si>
    <t>Quo Vadis, Medicus? : Health Behaviour among Health Professionals and Students</t>
  </si>
  <si>
    <t>Laudanska-Krzeminska, Ida</t>
  </si>
  <si>
    <t>Undocumented Migrants and Healthcare : Eight Stories from Switzerland</t>
  </si>
  <si>
    <t>Jossen, Marianne</t>
  </si>
  <si>
    <t>Exploring the Interior : Essays on Literary and Cultural History</t>
  </si>
  <si>
    <t>Guthke, Karl S.</t>
  </si>
  <si>
    <t>The Juggler of Notre Dame and the Medievalizing of Modernity : Volume 1: the Middle Ages</t>
  </si>
  <si>
    <t>Ziolkowski, Jan M.</t>
  </si>
  <si>
    <t>What Works in Conservation : 2018</t>
  </si>
  <si>
    <t>The Juggler of Notre Dame and the Medievalizing of Modernity : Volume 2: Medieval Meets Medievalism</t>
  </si>
  <si>
    <t>Don Carlos Infante of Spain : A Dramatic Poem</t>
  </si>
  <si>
    <t>Europa Im Geisterkrieg. Studien Zu Nietzsche</t>
  </si>
  <si>
    <t>Stegmaier, Werner</t>
  </si>
  <si>
    <t>Technicolored : Reflections on Race in the Time of TV</t>
  </si>
  <si>
    <t>duCille, Ann</t>
  </si>
  <si>
    <t>L' eutrophisation : Manifestations, Causes, Conséquences et Prédictibilité</t>
  </si>
  <si>
    <t>Pinay, Gilles</t>
  </si>
  <si>
    <t>American Classics : Evolutionary Perspectives</t>
  </si>
  <si>
    <t>Saunders, Judith P.</t>
  </si>
  <si>
    <t>Migrants and City-Making : Dispossession, Displacement, and Urban Regeneration</t>
  </si>
  <si>
    <t>Çaglar, Ayse</t>
  </si>
  <si>
    <t>Peptide-Liposome Model Systems for Triggered Release</t>
  </si>
  <si>
    <t>Skyttner, Camilla</t>
  </si>
  <si>
    <t>Borders and Mobility in South Asia and Beyond</t>
  </si>
  <si>
    <t>Jones, Reece</t>
  </si>
  <si>
    <t>Ästhetik des Gemachten : Interdisziplinäre Beiträge Zur Animations- und Comicforschung</t>
  </si>
  <si>
    <t>Backe, Hans-Joachim</t>
  </si>
  <si>
    <t>Innovation et développement Dans les Systèmes Agricoles et Alimentaires</t>
  </si>
  <si>
    <t>Multimodal Porphyrin-Based Conjugates : Synthesis and Characterization for Applications As Amyloid Ligands, Photodynamic Therapy Agents and Chiroptical Materials</t>
  </si>
  <si>
    <t>Arja, Katriann</t>
  </si>
  <si>
    <t>Residual Stresses, Fatigue and Deformation in Cast Iron</t>
  </si>
  <si>
    <t>Lundberg, Mattias</t>
  </si>
  <si>
    <t>Pre-Surgery Physiotherapy and Pain Thresholds in Patients with Degenerative Lumbar Spine Disorders</t>
  </si>
  <si>
    <t>Lindbäck, Yvonne</t>
  </si>
  <si>
    <t>Material Aspects of Letter Writing in the Graeco-Roman World : C. 500 BC - C. AD 300</t>
  </si>
  <si>
    <t>Sarri, Antonia</t>
  </si>
  <si>
    <t>Studies on Greek and Coptic Majuscule Scripts and Books</t>
  </si>
  <si>
    <t>Orsini, Pasquale</t>
  </si>
  <si>
    <t>Papierherstellung Im Deutschen Südwesten : Ein Neues Gewerbe Im Späten Mittelalter</t>
  </si>
  <si>
    <t>Image - Action - Space : Situating the Screen in Visual Practice</t>
  </si>
  <si>
    <t>Feiersinger, Luisa</t>
  </si>
  <si>
    <t>Sportfunktionäre und Jüdische Differenz : Zwischen Anerkennung und Antisemitismus - Wien 1918 Bis 1938</t>
  </si>
  <si>
    <t>Hachleitner, Bernhard</t>
  </si>
  <si>
    <t>Incumbent Actors in Sectoral Transformations Towards Sustainability : A Sociotechnical Study of the European Heavy Commercial Vehicles Sector</t>
  </si>
  <si>
    <t>Borghei, Benny Behbood</t>
  </si>
  <si>
    <t>Counting and Tracking : Development and Use of New Methods for Detailed Analysis of Thrombus Formation</t>
  </si>
  <si>
    <t>Tunströmer, Kjersti</t>
  </si>
  <si>
    <t>Psychological Change As an Outcome of Participation in Collective Action</t>
  </si>
  <si>
    <t>Vestergren, Sara</t>
  </si>
  <si>
    <t>Shaped for Beauty : Vocational and Gendered Subjectivities in Private Education for the Beauty Industry</t>
  </si>
  <si>
    <t>Bredlöv, Eleonor</t>
  </si>
  <si>
    <t>Charakterisierung des Bruchverhaltens von Polypropylen - Celluloseregeneratfaser - Verbunden</t>
  </si>
  <si>
    <t>Zarges, Jan-Christoph</t>
  </si>
  <si>
    <t>Blends aus Stärke und PLA : Prozessintegrierte Trocknung und Vernetzung – Struktur – Eigenschaften</t>
  </si>
  <si>
    <t>Johannes, Fuchs</t>
  </si>
  <si>
    <t>Interference-Aware Spectrum Occupancy Prediction for Cognitive Radio Networks</t>
  </si>
  <si>
    <t>Halaseh, Rana Al</t>
  </si>
  <si>
    <t>Dachverband Freier Kindertageseinrichtungen e.V. : Eine Chronik der Entstehung und Entwicklung seit 1991</t>
  </si>
  <si>
    <t>Bohle, Rosemarie</t>
  </si>
  <si>
    <t>Frühgeborene Kinder in früher außerfamiliärer Tagesbetreuung: : Elterliche Wahrnehmung der außerfamiliären Betreuung unter Berücksichtigung gesamtfamiliärer Entwicklungszusammenhänge</t>
  </si>
  <si>
    <t>Weißbrodt, Anette</t>
  </si>
  <si>
    <t>Induktives Stumpfschweißen metallischer Mischverbindungen</t>
  </si>
  <si>
    <t>Baunack, Django</t>
  </si>
  <si>
    <t>Ruhrmoderne 1967/2017 : Ein kurzer Sommer der Utopie in Marl</t>
  </si>
  <si>
    <t>Deutinger, Theo</t>
  </si>
  <si>
    <t>Entwicklung einer dynamischen Antriebsstrangregelung für Parallelhybridfahrzeuge</t>
  </si>
  <si>
    <t>Scheibe, Michael</t>
  </si>
  <si>
    <t>Children's book : Nurture for children’s theology</t>
  </si>
  <si>
    <t>Bucher, Anton A.</t>
  </si>
  <si>
    <t>Systemanalytischer Vergleich rohstofflicher Nutzungsoptionen von CO2 bei Verwendung regenerativer Energien unter besonderer Berücksichtigung der Ressourceneffizienz und Treibhausgasbilanz</t>
  </si>
  <si>
    <t>Hoppe, Wieland</t>
  </si>
  <si>
    <t>Forschung zwischen Freiheit und Verantwortung : Die wissenschaftshistorische Perspektive</t>
  </si>
  <si>
    <t>Development of a Decentralized Drinking Water Treatment Plant Based on Membrane Technology for Rural Areas in Vietnam</t>
  </si>
  <si>
    <t>Trinh, Ngoc Dao</t>
  </si>
  <si>
    <t>Bewerten im Naturschutzrecht - untersucht am Beispiel der naturschutzrechtlichen Eingriffsregelung</t>
  </si>
  <si>
    <t>Strothmann, Torsten</t>
  </si>
  <si>
    <t>The impact of corporate buyers on corporate social responsibility in textile supply chains</t>
  </si>
  <si>
    <t>Bartczek, Simon</t>
  </si>
  <si>
    <t>Regionalismen</t>
  </si>
  <si>
    <t>Engel, Ulf</t>
  </si>
  <si>
    <t>Konstruktion Von Sprache und Sprachwissen : Eine Empirische Studie Zur Schriftsprachaneignung Sprachstarker und Sprachschwacher Kinder</t>
  </si>
  <si>
    <t>Schaller, Pascale</t>
  </si>
  <si>
    <t>Rewriting Maimonides : Early Commentaries on the Guide of the Perplexed</t>
  </si>
  <si>
    <t>De Souza, Igor H.</t>
  </si>
  <si>
    <t>The Cultural Net : Early Modern Drama As a Paradigm</t>
  </si>
  <si>
    <t>Crossroads of Colonial Cultures : Caribbean Literatures in the Age of Revolution</t>
  </si>
  <si>
    <t>Probability and Statistics : A Course for Physicists and Engineers</t>
  </si>
  <si>
    <t>The Nivison Annals : Selected Works of David S. Nivison on Early Chinese Chronology, Astronomy, and Historiography</t>
  </si>
  <si>
    <t>Nivison, David S.</t>
  </si>
  <si>
    <t>Archive Für Literatur : Der Nachlass und Seine Ordnungen</t>
  </si>
  <si>
    <t>Dallinger, Petra-Maria</t>
  </si>
  <si>
    <t>Wirtschaft und Wirtschaftspolitik in Deutschland : 75 Jahre RWI - Leibniz-Institut Für Wirtschaftsforschung E. V. 1943-2018</t>
  </si>
  <si>
    <t>Pierenkemper, Toni</t>
  </si>
  <si>
    <t>Digital Papyrology II : Case Studies on the Digital Edition of Ancient Greek Papyri</t>
  </si>
  <si>
    <t>Contesting Religion : The Media Dynamics of Cultural Conflicts in Scandinavia</t>
  </si>
  <si>
    <t>Lundby, Knut</t>
  </si>
  <si>
    <t>Die Sprache der Mainzer Republik (1792/93) : Historisch-Semantische Untersuchungen Zur Politischen Kommunikation</t>
  </si>
  <si>
    <t>Herrgen, Joachim</t>
  </si>
  <si>
    <t>Wir Sind Nicht Auf der Welt, Um Zu Schweigen : Eine Einleitung in Die Rhetorik</t>
  </si>
  <si>
    <t>Kopperschmidt, Josef</t>
  </si>
  <si>
    <t>List Cultures : Knowledge and Poetics from Mesopotamia to BuzzFeed</t>
  </si>
  <si>
    <t>Young, Liam</t>
  </si>
  <si>
    <t>Gendered Temporalities in the Early Modern World</t>
  </si>
  <si>
    <t>Wiesner-Hanks, Merry</t>
  </si>
  <si>
    <t>On Self-Translation : Meditations on Language</t>
  </si>
  <si>
    <t>Stavans, Ilan</t>
  </si>
  <si>
    <t>Decision Making under Uncertainty in Financial Markets : Improving Decisions with Stochastic Optimization</t>
  </si>
  <si>
    <t>Ekblom, Jonas</t>
  </si>
  <si>
    <t>The Solvency II Capital Requirement for Insurance Groups : On the Tension Between Regulatory Law and Company Law</t>
  </si>
  <si>
    <t>Behrendt Jonsson, Britta</t>
  </si>
  <si>
    <t>Med Relationen Som Redskap? : Om Socialsekreterare, Klientarbete Och Professionalitet I Socialtjänsten</t>
  </si>
  <si>
    <t>Sjögren, Jessica</t>
  </si>
  <si>
    <t>Disclosing the Invisible : Experiences, Outcomes and Quality of Endometriosis Healthcare</t>
  </si>
  <si>
    <t>Grundström, Hanna</t>
  </si>
  <si>
    <t>Fysisk Aktivitet -Att Röra Sig Och Må VäL. Villkor Och Dilemman För äldres Fysiska Aktivitet : En Observations- Och Intervjustudie</t>
  </si>
  <si>
    <t>Mahrs-Träff, Annsofie</t>
  </si>
  <si>
    <t>Raka Spår, Sidospår, Stopp : Vägen Genom Gymnasieskolans Språkintroduktion Som Ung Och Ny I Sverige</t>
  </si>
  <si>
    <t>Hagström, Mirjam</t>
  </si>
  <si>
    <t>Models and Simulations of the Electric Field in Deep Brain Stimulation : Comparison of Lead Designs, Operating Modes and Tissue Conductivity</t>
  </si>
  <si>
    <t>Alonso, Fabiola</t>
  </si>
  <si>
    <t>Effects of Energetic Disorder on the Optoelectronic Properties of Organic Solar Cells</t>
  </si>
  <si>
    <t>Felekidis, Nikolaos</t>
  </si>
  <si>
    <t>English Aristocratic Women and the Fabric of Piety, 1450-1550 : The Fabric of Piety</t>
  </si>
  <si>
    <t>J. Harris, Barbara</t>
  </si>
  <si>
    <t>Current Trends inComputer Science andMechanical Automation Vol. 2 : Selected Papers from CSMA2016</t>
  </si>
  <si>
    <t>Wang, Shawn X.</t>
  </si>
  <si>
    <t>Greek Medical Papyri : Text, Context, Hypertext</t>
  </si>
  <si>
    <t>Current Trends inComputer Science andMechanical Automation Vol. 1 : Selected Papers from CSMA2016</t>
  </si>
  <si>
    <t>Coming of Age in Byzantium : Adolescence and Society</t>
  </si>
  <si>
    <t>Garbage Citizenship : Vital Infrastructures of Labor in Dakar, Senegal</t>
  </si>
  <si>
    <t>Fredericks, Rosalind</t>
  </si>
  <si>
    <t>Storytelling : The Destruction of the Inalienable in the Age of the Holocaust</t>
  </si>
  <si>
    <t>Gasché, Rodolphe</t>
  </si>
  <si>
    <t>The Significance of Risk Adjustment for the Assessment of Results in Intensive Care : An Analysis of Risk Adjustment Models Used in Swedish Intensive Care</t>
  </si>
  <si>
    <t>Engerström, Lars</t>
  </si>
  <si>
    <t>Christian Metz and the Codes of Cinema : Film Semiology and Beyond</t>
  </si>
  <si>
    <t>Tröhler, Margrit</t>
  </si>
  <si>
    <t>Advancing the Learning Agenda in Jewish Education</t>
  </si>
  <si>
    <t>Aspectuality : An Onomasiological Model Applied to the Romance Languages</t>
  </si>
  <si>
    <t>Dessì Schmid, Sarah</t>
  </si>
  <si>
    <t>Tempi der Bewegung - Modi des Gefühls : Expressivität, Heitere Affekte und Die Screwball Comedy</t>
  </si>
  <si>
    <t>Greifenstein, Sarah</t>
  </si>
  <si>
    <t>Lived Religion in the Ancient Mediterranean World : Approaching Religious Transformations from Archaeology, History and Classics</t>
  </si>
  <si>
    <t>Gasparini, Valentino</t>
  </si>
  <si>
    <t>Assyrian and Babylonian Scholarly Text Catalogues : Medicine, Magic and Divination</t>
  </si>
  <si>
    <t>Steinert, Ulrike</t>
  </si>
  <si>
    <t>Fabellae : Frammenti Di Favole Latine e Bilingui Latino-Greche Di Tradizione Diretta (III-IV D. C. )</t>
  </si>
  <si>
    <t>Scappaticcio, Maria Chiara</t>
  </si>
  <si>
    <t>Mesopotamian Eye Disease Texts : The Nineveh Treatise</t>
  </si>
  <si>
    <t>Geller, Markham J.</t>
  </si>
  <si>
    <t>Blumen : Historisch-Kritische Ausgabe</t>
  </si>
  <si>
    <t>Schwentner, Isabella</t>
  </si>
  <si>
    <t>Re-Mapping World Literature : Writing, Book Markets and Epistemologies Between Latin America and the Global South / Escrituras, Mercados y Epistemologías Entre América Latina y el Sur Global</t>
  </si>
  <si>
    <t>Der Deutsche Staat Im Jahre 1945 und Seither. Die Berufsbeamten und Die Staatskrisen</t>
  </si>
  <si>
    <t>Heydte, August von der</t>
  </si>
  <si>
    <t>Digital Sound Studies</t>
  </si>
  <si>
    <t>Lingold, Mary Caton</t>
  </si>
  <si>
    <t>ANZUS and the Early Cold War : Strategy and Diplomacy Between Australia, New Zealand and the United States, 1945-1956</t>
  </si>
  <si>
    <t>Kelly, Andrew</t>
  </si>
  <si>
    <t>With and Without Galton : Vasilii Florinskii and the Fate of Eugenics in Russia</t>
  </si>
  <si>
    <t>Krementsov, Nikolai</t>
  </si>
  <si>
    <t>The Juggler of Notre Dame and the Medievalizing of Modernity : Volume 3: the American Middle Ages</t>
  </si>
  <si>
    <t>The Red Countess : Select Autobiographical and Fictional Writing of Hermynia Zur Mühlen (1883-1951)</t>
  </si>
  <si>
    <t>Zur Mühlen, Hermynia</t>
  </si>
  <si>
    <t>Cicero, Philippic 2, 44-50, 78-92, 100-119 : Latin Text, Study Aids with Vocabulary, and Commentary</t>
  </si>
  <si>
    <t>Race and Rurality in the Global Economy</t>
  </si>
  <si>
    <t>Crichlow, Michaeline A.</t>
  </si>
  <si>
    <t>Synthesis and Transport Properties of 2D Transition Metal Carbides (MXenes)</t>
  </si>
  <si>
    <t>Halim, Joseph</t>
  </si>
  <si>
    <t>Information Systems Development for Emerging Public Sector Cross-Sector Collaborations : The Case of Swedish Emergency Response</t>
  </si>
  <si>
    <t>Yousefi Mojir, Kayvan</t>
  </si>
  <si>
    <t>Effects of Complement Opsonization of HIV on Dendritic Cells : And Implications for the Immune Response</t>
  </si>
  <si>
    <t>Ellegård, Rada</t>
  </si>
  <si>
    <t>Optical Document Security: Measurement, Characterization and Visualization : In the Light of Visual Evaluation</t>
  </si>
  <si>
    <t>Lindstrand, Mikael</t>
  </si>
  <si>
    <t>The Oracle Bone Inscriptions from Huayuanzhuang East : Translated with an Introduction and Commentary</t>
  </si>
  <si>
    <t>Schwartz, Adam C.</t>
  </si>
  <si>
    <t>Housing Capital : Resource and Representation</t>
  </si>
  <si>
    <t>Derix, Simone</t>
  </si>
  <si>
    <t>Making Religion and Human Rights at the United Nations</t>
  </si>
  <si>
    <t>Årsheim, Helge</t>
  </si>
  <si>
    <t>Towards Personalized Models of the Cardiovascular System Using 4D Flow MRI</t>
  </si>
  <si>
    <t>Casas Garcia, Belén</t>
  </si>
  <si>
    <t>Growing into Voting : Election Turnout among Young People and Habit Formation</t>
  </si>
  <si>
    <t>Öhrvall, Richard</t>
  </si>
  <si>
    <t>Neuromodulation, Short-Term and Long-Term Plasticity in Corticothalamic and Hippocampal Neuronal Networks</t>
  </si>
  <si>
    <t>Sundberg, Sofie</t>
  </si>
  <si>
    <t>Studies of the Systemic Inflammation in Psoriasis</t>
  </si>
  <si>
    <t>Sigurdardottir, Gunnthorunn</t>
  </si>
  <si>
    <t>Graffiti Als Interaktionsform : Geritzte Inschriften in Den Wohnhäusern Pompejis</t>
  </si>
  <si>
    <t>Lohmann, Polly</t>
  </si>
  <si>
    <t>Das Steininschriftenprojekt des Wolkenheimklosters Während der Liao-Dynastie (907-1125) : Eine Analyse Seiner Kolophone</t>
  </si>
  <si>
    <t>Chuang, Hui-Ping</t>
  </si>
  <si>
    <t>After Ethnos</t>
  </si>
  <si>
    <t>Rees, Tobias</t>
  </si>
  <si>
    <t>Die Revokation des Edikts Von Nantes und Die Protestanten in Südostfrankreich (Provence und Dauphiné) 1685-1730</t>
  </si>
  <si>
    <t>Bernard, Anna</t>
  </si>
  <si>
    <t>La Conscience des Animaux</t>
  </si>
  <si>
    <t>Le Neindre, Pierre</t>
  </si>
  <si>
    <t>Land Use and Food Security in 2050: a Narrow Road : Agrimonde-Terra</t>
  </si>
  <si>
    <t>Le Mouël, Chantal</t>
  </si>
  <si>
    <t>Bodies As Evidence : Security, Knowledge, and Power</t>
  </si>
  <si>
    <t>Maguire, Mark</t>
  </si>
  <si>
    <t>Transport Analytics Based on Cellular Network Signalling Data</t>
  </si>
  <si>
    <t>Gundlegård, David</t>
  </si>
  <si>
    <t>Mentalizing : Competence and Process</t>
  </si>
  <si>
    <t>Möller, Clara</t>
  </si>
  <si>
    <t>Lost in Mobility? : Labour Migration from Baltic Lithuania to Sweden</t>
  </si>
  <si>
    <t>Genelyte, Indre</t>
  </si>
  <si>
    <t>Identification of Candidate Genes Involved in Mercury Toxicokinetics and Mercury Induced Autoimmunity</t>
  </si>
  <si>
    <t>Alkaissi, Hammoudi</t>
  </si>
  <si>
    <t>Formation and Relevance of Platelet Subpopulations</t>
  </si>
  <si>
    <t>Södergren, Anna</t>
  </si>
  <si>
    <t>Reconciliation in Global Context : Why It Is Needed and How It Works</t>
  </si>
  <si>
    <t>Krondorfer, Bjö</t>
  </si>
  <si>
    <t>Allianzen : Kritische Praxis an weißen Institutionen</t>
  </si>
  <si>
    <t>Liepsch, Elisa</t>
  </si>
  <si>
    <t>Hypoxia Inducible Factor 1 Alpha : Dependent and Independent Regulation of Hematopoietic Stem Cells and Leukemia</t>
  </si>
  <si>
    <t>Halvarsson, Camilla</t>
  </si>
  <si>
    <t>Healing Processes in Cancellous Bone</t>
  </si>
  <si>
    <t>Bernhardsson, Magnus</t>
  </si>
  <si>
    <t>Synthesis and Characterization of Fluorescent Stilbene-Based Probes Targeting Amyloid Fibrils</t>
  </si>
  <si>
    <t>Zhang, Jun</t>
  </si>
  <si>
    <t>Screen Printing Technology for Energy Devices</t>
  </si>
  <si>
    <t>Willfahrt, Andreas</t>
  </si>
  <si>
    <t>Psychological Treatment of Outpatients with Substance Use Disorders in Routine Care : Attachment Style, Alliance, and Treatment Outcome</t>
  </si>
  <si>
    <t>Söderberg Gidhagen, Ylva</t>
  </si>
  <si>
    <t>Investigation of Nanoparticle-Cell Interactions for Development of Next Generation of Biocompatible MRI Contrast Agents</t>
  </si>
  <si>
    <t>Abrikossova, Natalia</t>
  </si>
  <si>
    <t>Myocardial Tissue Characterization Using Magnetic Resonance Imaging</t>
  </si>
  <si>
    <t>Kvernby, Sofia</t>
  </si>
  <si>
    <t>Development of Soft Sensors for Monitoring and Control of Bioprocesses</t>
  </si>
  <si>
    <t>Gustavsson, Robert</t>
  </si>
  <si>
    <t>From Detection to Intervention Psychological Aspects of Online Hearing Rehabilitation</t>
  </si>
  <si>
    <t>Molander, Peter</t>
  </si>
  <si>
    <t>From Grain to Pixel : The Archival Life of Film in Transition, Third Revised Edition</t>
  </si>
  <si>
    <t>Fossati, Giovanna</t>
  </si>
  <si>
    <t>Exploring Fennoscandian Agricultural History Through Genetic Analysis of Aged Crop Materials</t>
  </si>
  <si>
    <t>Lundström, Maria</t>
  </si>
  <si>
    <t>Adolescent Idiopathic Scoliosis : A Deformity in Three Dimensions</t>
  </si>
  <si>
    <t>Vavruch, Ludvig</t>
  </si>
  <si>
    <t>Concurrent Planning of Railway Maintenance Windows and Train Services</t>
  </si>
  <si>
    <t>Lidén, Tomas</t>
  </si>
  <si>
    <t>Forensic Toxicological Aspects of Tramadol : Focus on Enantioselective Drug Disposition and Pharmacogenetics</t>
  </si>
  <si>
    <t>Haage, Pernilla</t>
  </si>
  <si>
    <t>Happiness Is the Wrong Metric : A Liberal Communitarian Response to Populism</t>
  </si>
  <si>
    <t>Etzioni, Amitai</t>
  </si>
  <si>
    <t>Respawn : Gamers, Hackers, and Technogenic Life</t>
  </si>
  <si>
    <t>Milburn, Colin</t>
  </si>
  <si>
    <t>Invited Lectures from the 13th International Congress on Mathematical Education</t>
  </si>
  <si>
    <t>Kaiser, Gabriele</t>
  </si>
  <si>
    <t>The Uncanny Child in Transnational Cinema : Ghosts of Futurity at the Turn of the Twenty-First Century</t>
  </si>
  <si>
    <t>Balanzategui, Jessica</t>
  </si>
  <si>
    <t>When Are Nudges Acceptable? : Influences of Beneficiaries, Techniques, Alternatives and Choice Architects</t>
  </si>
  <si>
    <t>Hagman, William</t>
  </si>
  <si>
    <t>Sparse Representation of Visual Data for Compression and Compressed Sensing</t>
  </si>
  <si>
    <t>Miandji, Ehsan</t>
  </si>
  <si>
    <t>Dementia Across Cultural Borders : Reflections and Thought Patterns of Elderly Iranians with Dementia in Sweden, Their Relatives and Staff at a Culturally Profiled Nursing Home</t>
  </si>
  <si>
    <t>Kiwi, Mahin</t>
  </si>
  <si>
    <t>Mainstreaming Passive Houses : A Study of Energy Efficient Residential Buildings in Sweden</t>
  </si>
  <si>
    <t>Niskanen, Johan</t>
  </si>
  <si>
    <t>Tracking the Wanders of Nature</t>
  </si>
  <si>
    <t>Veibäck, Clas</t>
  </si>
  <si>
    <t>English Hemspråk : Language in Interaction in English Mother Tongue Instruction in Sweden</t>
  </si>
  <si>
    <t>Stoewer, Kirsten</t>
  </si>
  <si>
    <t>Studies on Spasticity from an Interventional Perspective</t>
  </si>
  <si>
    <t>Ertzgaard, Per</t>
  </si>
  <si>
    <t>Fugitive Borders : Black Canadian Cross-Border Literature at Mid-Nineteenth Century</t>
  </si>
  <si>
    <t>Sawallisch, Nele</t>
  </si>
  <si>
    <t>Belonging and Narrative : A Theory of the American Novel</t>
  </si>
  <si>
    <t>Bieger, Laura</t>
  </si>
  <si>
    <t>The Juggler of Notre Dame and the Medievalizing of Modernity : Volume 5: Tumbling into the Twentieth Century</t>
  </si>
  <si>
    <t>Hanging on to the Edges : Essays on Science, Society and the Academic Life</t>
  </si>
  <si>
    <t>The Life and Letters of William Sharp and Fiona Macleod : Volume I: 1855-1894</t>
  </si>
  <si>
    <t>Halloran, William F.</t>
  </si>
  <si>
    <t>The Juggler of Notre Dame and the Medievalizing of Modernity : Volume 4: Picture That: Making a Show of the Jongleur</t>
  </si>
  <si>
    <t>A Business Ecology Perspective on Community-Driven Open Source : The Case of the Free and Open Source Content Management System Joomla</t>
  </si>
  <si>
    <t>Radits, Markus</t>
  </si>
  <si>
    <t>Machine Learning Using Approximate Inference : Variational and Sequential Monte Carlo Methods</t>
  </si>
  <si>
    <t>Andersson Naesseth, Christian</t>
  </si>
  <si>
    <t>The Androgyne and the Phoenix : Marguerite de Navarre and Gaspara Stampa: Gendering Early Modern Debates on Love</t>
  </si>
  <si>
    <t>Vernqvist, Johanna</t>
  </si>
  <si>
    <t>Lära För Skrivundervisning : En Studie Om Skrivdidaktisk Kunskap I ämneslärarutbildningen Och Läraryrket</t>
  </si>
  <si>
    <t>Winzell, Helen</t>
  </si>
  <si>
    <t>Conducting Polymer Electrodes for Thermogalvanic Cells</t>
  </si>
  <si>
    <t>Wijeratne, Kosala</t>
  </si>
  <si>
    <t>Contraceptive Counselling in Abortion Care</t>
  </si>
  <si>
    <t>Kilander, Helena</t>
  </si>
  <si>
    <t>The Race of Sound : Listening, Timbre, and Vocality in African American Music</t>
  </si>
  <si>
    <t>Eidsheim, Nina Sun</t>
  </si>
  <si>
    <t>The Universe, Life and Everything : Dialogues on Our Changing Understanding of Reality</t>
  </si>
  <si>
    <t>Durston, Sarah</t>
  </si>
  <si>
    <t>Managementinitiativ, Mening Och Verksamhetsresultat : En Retrospektiv Studie Av en Teknikintensiv Verksamhet</t>
  </si>
  <si>
    <t>Odar, Susanne</t>
  </si>
  <si>
    <t>System-Level Design of GPU-Based Embedded Systems</t>
  </si>
  <si>
    <t>Maghazeh, Arian</t>
  </si>
  <si>
    <t>Investigating Mechanisms of Angiogenesis in Health and Disease Using Zebrafish Models</t>
  </si>
  <si>
    <t>Ali, Zaheer</t>
  </si>
  <si>
    <t>Cost Allocation Methods in Cooperative Transportation Planning</t>
  </si>
  <si>
    <t>Dahlberg, Joen</t>
  </si>
  <si>
    <t>4H-SiC Epitaxy Investigating Carrier Lifetime and Substrate off-Axis Dependence</t>
  </si>
  <si>
    <t>Lilja, Louise</t>
  </si>
  <si>
    <t>The Portuguese Language Continuum in Africa and Brazil</t>
  </si>
  <si>
    <t>Álvarez López, Laura</t>
  </si>
  <si>
    <t>Food Anxiety in Globalising Vietnam</t>
  </si>
  <si>
    <t>Springer Singapore Pte. Limited</t>
  </si>
  <si>
    <t>Ehlert, Judith</t>
  </si>
  <si>
    <t>Inverse System Identification with Applications in Predistortion</t>
  </si>
  <si>
    <t>Jung, Ylva</t>
  </si>
  <si>
    <t>Adolescents Selling Sex and Sex As Self-Injury</t>
  </si>
  <si>
    <t>Fredlund, Cecilia</t>
  </si>
  <si>
    <t>Identifying Patterns of Emotional and Behavioural Problems in Preschool Children : Facilitating Early Detection</t>
  </si>
  <si>
    <t>Gustafsson, Berit M.</t>
  </si>
  <si>
    <t>Prognostic Markers in Acute Myeloid Leukemia : A Candidate Gene Approach</t>
  </si>
  <si>
    <t>Jakobsen, Ingrid</t>
  </si>
  <si>
    <t>The Dutch and English East India Companies : Diplomacy, Trade and Violence in Early Modern Asia</t>
  </si>
  <si>
    <t>Clulow, Adam</t>
  </si>
  <si>
    <t>Acute Coronary Syndrome : Bleeding, Platelets and Gender</t>
  </si>
  <si>
    <t>Holm, Anna</t>
  </si>
  <si>
    <t>Brain Networks and Dynamics in Narcolepsy</t>
  </si>
  <si>
    <t>Drissi, Natasha Morales</t>
  </si>
  <si>
    <t>Diagnostic and Prognostic Potential of Joint Imaging in Patients with Anti-Citrullinated Protein Antibodies</t>
  </si>
  <si>
    <t>Ziegelasch, Michael</t>
  </si>
  <si>
    <t>Polymer/polymer Blends in Organic Photovoltaic and Photodiode Devices</t>
  </si>
  <si>
    <t>Xia, Yuxin</t>
  </si>
  <si>
    <t>Services écosystémiques Fournis Par les Espaces Agricoles : Évaluer et Caractériser</t>
  </si>
  <si>
    <t>Tibi, Anaïs</t>
  </si>
  <si>
    <t>La Transition Agro-écologique des Agricultures du Sud</t>
  </si>
  <si>
    <t>Côte, François-Xavier</t>
  </si>
  <si>
    <t>An Intimate Rebuke : Female Genital Power in Ritual and Politics in West Africa</t>
  </si>
  <si>
    <t>Grillo, Laura S.</t>
  </si>
  <si>
    <t>The Right Ventricle in Volume or Pressure Overload : Insights from Novel Imaging Techniques</t>
  </si>
  <si>
    <t>Trzebiatowska-Krzynska, Aleksandra</t>
  </si>
  <si>
    <t>Characterizing Phenotypes of Mycobacterium Tuberculosis and Exploring Anti-Mycobacterial Compounds Through High Content Screening</t>
  </si>
  <si>
    <t>Kalsum, Sadaf</t>
  </si>
  <si>
    <t>All-Digital PWM Transmitters</t>
  </si>
  <si>
    <t>Pasha, Muhammad Touqir</t>
  </si>
  <si>
    <t>Automatic and Explicit Parallelization Approaches for Equation Based Mathematical Modeling and Simulation</t>
  </si>
  <si>
    <t>Gebremedhin, Mahder</t>
  </si>
  <si>
    <t>Determinants of Illegal Migration : The Case of Migrant Workers from East Java to Malaysia</t>
  </si>
  <si>
    <t>Sibarani, Robert Wiliater</t>
  </si>
  <si>
    <t>Diplomatische Kompetenzen und Geschlecht : Konfliktlösung und Friedensstiftung im höfischen Roman</t>
  </si>
  <si>
    <t>Djinkpor, Essi Mawusé</t>
  </si>
  <si>
    <t>Rekultivierung von Rückstandshalden der Kaliindustrie -9- : Eignung von verschiedenen technogenen Substraten als Rekultivierungsschicht im Rahmen einer Dünnschichtabdeckung für Kalirückstandshalden</t>
  </si>
  <si>
    <t>Traditionell zukunftsfähig : Brasilien, Indien, Westafrika, Alpen, Nordhessen V. Internationales Kolloquium Traditionelle Völker und Gemeinschaften</t>
  </si>
  <si>
    <t>Thermoplasten und Flüssigsilikonen mit unterschiedlichen Mechanismen zur Initiierung der Vernetzung hergestellt im Mehrkomponenten-Spritzgießverfahren</t>
  </si>
  <si>
    <t>Schlitt, Christof</t>
  </si>
  <si>
    <t>Physikalisch nichtlineare Modellierung und numerische Simulation struktureller und funktionaler magnetoelektrischer Verbundwerkstoffe</t>
  </si>
  <si>
    <t>Avakian, Artjom</t>
  </si>
  <si>
    <t>Small-scale water supply system (SSS) for remote and rural areas in developing countries : A case study of the use of Ultra-Low Pressure Ultrafiltration (ULP-UF) as main technology on a decentralised small-scale water treatment plant for remote and rural communities in Colombia</t>
  </si>
  <si>
    <t>Andrade, Jose Abdon Ordóñez</t>
  </si>
  <si>
    <t>Delitos de cuello blanco</t>
  </si>
  <si>
    <t>Teichmann, Fabian Maximilian</t>
  </si>
  <si>
    <t>Crimes de colarinho branco</t>
  </si>
  <si>
    <t>Biochar effects on carbon and nutrient fluxes during compost production and on wastewater irrigated soils in urban gardens of two West African cities</t>
  </si>
  <si>
    <t>Manka'abusi, Delphine</t>
  </si>
  <si>
    <t>Hacia una inclusión óptima en el modelo educativo de la UNAH: : Integrando aprendizajes no-formales e informales</t>
  </si>
  <si>
    <t>Arias, Céleo Emilio</t>
  </si>
  <si>
    <t>Interpreting Policy Convergence Between the Left and the Right</t>
  </si>
  <si>
    <t>Wennström, Johan</t>
  </si>
  <si>
    <t>Educational Imaginaries : A Genealogy of the Digital Citizen</t>
  </si>
  <si>
    <t>Rahm, Lina</t>
  </si>
  <si>
    <t>A Fleet Street in Every Town : The Provincial Press in England, 1855-1900</t>
  </si>
  <si>
    <t>Hobbs, Andrew</t>
  </si>
  <si>
    <t>Virgil, Aeneid 11, Pallas and Camilla, 1-224, 498-521, 532-596, 648-689, 725-835 : Latin Text, Study Aids with Vocabulary, and Commentary</t>
  </si>
  <si>
    <t>The Juggler of Notre Dame and the Medievalizing of Modernity : Volume 6: War and Peace, Sex and Violence</t>
  </si>
  <si>
    <t>Das geheimnisvolle Markusevangelium : Eine Auseinandersetzung mit dem scheinbaren Messisasgeheimnis</t>
  </si>
  <si>
    <t>Simmen-Host, Alexandra</t>
  </si>
  <si>
    <t>Die Tagebücher des Grafen Casimir zu Sayn-Wittgenstein-Berleburg (1687-1741) als Selbstzeugnis eines pietistischen Landesherrn</t>
  </si>
  <si>
    <t>Reimann, Christoph</t>
  </si>
  <si>
    <t>Wirtschaftliche Bewertung von Wanderschafhaltungsbetrieben in der Region Gandja-Gasach/Aserbaidschan : Status quo und Ableitung von Verbesserungspotentialen</t>
  </si>
  <si>
    <t>Allahverdiyeva, Naiba</t>
  </si>
  <si>
    <t>Pflegehorizonte älterer südkoreanischer ArbeitsmigrantInnen : Öffnung und Schließung im Kontext früher Immigration</t>
  </si>
  <si>
    <t>Oh, Jung-Lim</t>
  </si>
  <si>
    <t>Bruchrechnung begreifen durch Begreifen</t>
  </si>
  <si>
    <t>Leveraging the Potentials of Peer Learning : Conceptual Foundations and Reference Processes for Peer Learning</t>
  </si>
  <si>
    <t>Oeste-Reiß, Sarah</t>
  </si>
  <si>
    <t>Maximierung der Leistungsdichte von selbstgeführten hochfrequenten Energiewandlern auf Basis ultraschneller Wide-Bandgap Bauelemente</t>
  </si>
  <si>
    <t>Aličković, Juliane</t>
  </si>
  <si>
    <t>Kurdische Migrant_innen in Deutschland : Lebenswelten – Identität – politische Partizipation</t>
  </si>
  <si>
    <t>Engin, Kenan</t>
  </si>
  <si>
    <t>Georg Forsters Ansichten vom Niederrhein</t>
  </si>
  <si>
    <t>Greif, Stefan</t>
  </si>
  <si>
    <t>Recursive Spatial Multiplexing for Interference Mitigation</t>
  </si>
  <si>
    <t>Shah, Syed Ibrahim Asghar</t>
  </si>
  <si>
    <t>Learning Dynamics of Workplace Development Programmes : Studies in Swedish National Programmes</t>
  </si>
  <si>
    <t>Halvarsson Lundkvist, Agneta</t>
  </si>
  <si>
    <t>CVD Growth of SiC for High-Power and High-frequency Applications</t>
  </si>
  <si>
    <t>Karhu, Robin</t>
  </si>
  <si>
    <t>Risk-Adjustment for Swedish in-Hospital Trauma Mortality Using International Classification of Disease Injury Severity Score (ICISS) : Issues with Description and Methods</t>
  </si>
  <si>
    <t>Larsen, Robert</t>
  </si>
  <si>
    <t>Digital Techniques for Documenting and Preserving Cultural Heritage</t>
  </si>
  <si>
    <t>Arc Humanities Press</t>
  </si>
  <si>
    <t>Bentkowska-Kafel, Anna</t>
  </si>
  <si>
    <t>Urban Europe : Fifty Tales of the City</t>
  </si>
  <si>
    <t>Mamadouh, Virginie</t>
  </si>
  <si>
    <t>Chivalry, Reading, and Women's Culture in Early Modern Spain : From Amadís de Gaula to Don Quixote</t>
  </si>
  <si>
    <t>Triplette, Stacey</t>
  </si>
  <si>
    <t>Imams in Western Europe : Developments, Transformations, and Institutional Challenges</t>
  </si>
  <si>
    <t>Hashas, Mohammed</t>
  </si>
  <si>
    <t>The Heart and Wallet Paradox of Collaborative Consumption</t>
  </si>
  <si>
    <t>Guyader, Hugo</t>
  </si>
  <si>
    <t>Gaussian Processes for Positioning Using Radio Signal Strength Measurements</t>
  </si>
  <si>
    <t>Zhao, Yuxin</t>
  </si>
  <si>
    <t>Thermal Barrier Coatings : Failure Mechanisms and Life Prediction</t>
  </si>
  <si>
    <t>Jonnalagadda, Krishna Praveen</t>
  </si>
  <si>
    <t>Hyperion, or the Hermit in Greece</t>
  </si>
  <si>
    <t>Gaskill, Howard</t>
  </si>
  <si>
    <t>Delivering on the Promise of Democracy : Visual Case Studies in Educational Equity and Transformation</t>
  </si>
  <si>
    <t>Jhaj, Sukhwant</t>
  </si>
  <si>
    <t>Life Histories of Etnos Theory in Russia and Beyond</t>
  </si>
  <si>
    <t>Anderson, David G.</t>
  </si>
  <si>
    <t>Neurotransmitter Imaging of the Human Brain : Detecting &amp;gamma</t>
  </si>
  <si>
    <t>Mycobacterium Tuberculosis and HIV Coinfection : Effects on Innate Immunity and Strategies to Boost the Immune Response</t>
  </si>
  <si>
    <t>Andersson, Anna-Maria</t>
  </si>
  <si>
    <t>Imaging Studies of Olfaction in Health and Parkinsonism</t>
  </si>
  <si>
    <t>Georgiopoulos, Charalampos</t>
  </si>
  <si>
    <t>Radiography in Practice : Work and Learning in Medical Imaging</t>
  </si>
  <si>
    <t>Lundvall, Lise-Lott</t>
  </si>
  <si>
    <t>Free Charge Carrier Properties in Group III Nitrides and Graphene Studied by THz-To-MIR Ellipsometry and Optical Hall Effect</t>
  </si>
  <si>
    <t>Armakavicius, Nerijus</t>
  </si>
  <si>
    <t>Aseptic Loosening of Orthopedic Implants : Osteoclastogenesis Regulation and Potential Therapeutics</t>
  </si>
  <si>
    <t>Amirhosseini, Mehdi</t>
  </si>
  <si>
    <t>The Playful Citizen : Civic Engagement in a Mediatized Culture</t>
  </si>
  <si>
    <t>Glas, René</t>
  </si>
  <si>
    <t>Trente Années d'observation des Micro-Algues et des Toxines d'algues Sur le Littoral</t>
  </si>
  <si>
    <t>Belin, Catherine</t>
  </si>
  <si>
    <t>Systèmes Agraires et Changement Climatique Au Sud : Les Chemins de L'adaptation</t>
  </si>
  <si>
    <t>Cochet, Hubert</t>
  </si>
  <si>
    <t>Une Agronomie Pour le XXIe Siècle</t>
  </si>
  <si>
    <t>Richard, Guy</t>
  </si>
  <si>
    <t>Dynamic Regulation of DNA Methylation in Human T-Cell Biology</t>
  </si>
  <si>
    <t>Lentini, Antonio</t>
  </si>
  <si>
    <t>The News at the Ends of the Earth : The Print Culture of Polar Exploration</t>
  </si>
  <si>
    <t>Blum, Hester</t>
  </si>
  <si>
    <t>Geriatric Aspects of Frail Nursing Home Residents : A Swedish Cohort Study</t>
  </si>
  <si>
    <t>Westerlind, Bjö</t>
  </si>
  <si>
    <t>Critical Paediatric Bioethics and the Treatment of Short Stature : An Interdisciplinary Study</t>
  </si>
  <si>
    <t>Murano, Maria Cristina</t>
  </si>
  <si>
    <t>The Believer and the Modern Study of the Bible</t>
  </si>
  <si>
    <t>Ganzel, Tova</t>
  </si>
  <si>
    <t>Silent Craving : Sucht und Drogen im Stummfilm (1890 – 1931)</t>
  </si>
  <si>
    <t>Henkel, Dennis</t>
  </si>
  <si>
    <t>Baukastenstrategien im Automobilbereich – Erklärung der entstehenden Komplexität und Optimierungsansätze zu ihrer Beherrschung</t>
  </si>
  <si>
    <t>Schneider, Reiner Albert</t>
  </si>
  <si>
    <t>Über Nachtfliegen, Zaunkönige und Meisterdiebe : Neue Beiträge zur Grimm- und Märchenforschung</t>
  </si>
  <si>
    <t>Ehrhardt, Holger</t>
  </si>
  <si>
    <t>System Identification of Stochastic Nonlinear Dynamic Systems using Takagi-Sugeno Fuzzy Models</t>
  </si>
  <si>
    <t>Zaidi, Salman</t>
  </si>
  <si>
    <t>Compliance – Challenges and Solutions</t>
  </si>
  <si>
    <t>Teichmann, Fabian Maximilian Johannes</t>
  </si>
  <si>
    <t>Spuren suchen : Tier-Mensch-Beziehungen im Geschichts- und Politikunterricht</t>
  </si>
  <si>
    <t>Horn, Sabine</t>
  </si>
  <si>
    <t>Theoretical and Experimental Studies of Ternary and Quaternary Nitrides for Machining and Thermoelectric Materials</t>
  </si>
  <si>
    <t>Pilemalm, Robert</t>
  </si>
  <si>
    <t>Biomarkers of Inflammation and Intestinal Mucosa Pathology in Celiac Disease</t>
  </si>
  <si>
    <t>Gustafsson Bragde, Hanna</t>
  </si>
  <si>
    <t>Anaerobic Digester Fluid Rheology and Process Efficiency : Interactions of Substrate Composition, Trace Element Availability, and Microbial Activity</t>
  </si>
  <si>
    <t>Safarič, Luka</t>
  </si>
  <si>
    <t>Mastering Russian Spaces : Raum und Raumbewältigung Als Probleme der Russischen Geschichte</t>
  </si>
  <si>
    <t>Schlögel, Karl</t>
  </si>
  <si>
    <t>Goal-Directed Fluid Therapy During Major Abdominal Surgery</t>
  </si>
  <si>
    <t>Bahlmann, Hans</t>
  </si>
  <si>
    <t>Interactions Between the Brain and the Immune System in Pain and Inflammation</t>
  </si>
  <si>
    <t>Zajdel, Joanna</t>
  </si>
  <si>
    <t>Effective and Efficient Design and Provision of Product-Service Systems : Challenges, Opportunities, and Solutions</t>
  </si>
  <si>
    <t>Matschewsky, Johannes</t>
  </si>
  <si>
    <t>Vision-Based Localization and Attitude Estimation Methods in Natural Environments</t>
  </si>
  <si>
    <t>Grelsson, Bertil</t>
  </si>
  <si>
    <t>Inflammation in Cancellous and Cortical Bone Healing</t>
  </si>
  <si>
    <t>Tätting, Love</t>
  </si>
  <si>
    <t>From Darkness to Light : Writers in Museums 1798-1898</t>
  </si>
  <si>
    <t>Mamoli Zorzi, Rosella</t>
  </si>
  <si>
    <t>Women and Migration : Responses in Art and History</t>
  </si>
  <si>
    <t>Willis, Deborah</t>
  </si>
  <si>
    <t>Whose Book Is It Anyway? : A View from Elsewhere on Publishing, Copyright and Creativity</t>
  </si>
  <si>
    <t>Jefferies, Janis</t>
  </si>
  <si>
    <t>Remapping Travel Narratives, 1000-1700 : To the East and Back Again</t>
  </si>
  <si>
    <t>Piera, Montserrat</t>
  </si>
  <si>
    <t>Anti-Japan : The Politics of Sentiment in Postcolonial East Asia</t>
  </si>
  <si>
    <t>Ching, Leo T. S.</t>
  </si>
  <si>
    <t>Improving Assessments of Hemodynamics and Vascular Disease</t>
  </si>
  <si>
    <t>Ziegler, Magnus</t>
  </si>
  <si>
    <t>Structured Management, Symptoms, Health-Related Quality of Life and Alcohol in Patients with Atrial Fibrillation</t>
  </si>
  <si>
    <t>Barmano, Neshro</t>
  </si>
  <si>
    <t>Surgically Treated Intracerebral Haemorrhage : Pathophysiology and Clinical Aspects</t>
  </si>
  <si>
    <t>Tobieson, Lovisa</t>
  </si>
  <si>
    <t>Sex Differences in Atherosclerosis and Exercise Effects</t>
  </si>
  <si>
    <t>Ward, Liam</t>
  </si>
  <si>
    <t>Mathematical Modelling of Flow Through Thin Curved Pipes with Application to Hemodynamics</t>
  </si>
  <si>
    <t>Ghosh, Arpan</t>
  </si>
  <si>
    <t>Dog Behaviour : Intricate Picture of Genetics, Epigenetics, and Human-Dog Relations</t>
  </si>
  <si>
    <t>Sundman, Ann-Sofie</t>
  </si>
  <si>
    <t>Recherche Agronomique et Politique Agricole : Jacques Poly, un Stratège</t>
  </si>
  <si>
    <t>Entwicklung eines Verfahrens zur Prozesssteuerung mittels Indikatoren für die Realisierung von Bauvorhaben im Hochbau</t>
  </si>
  <si>
    <t>Klahm, Roman M.</t>
  </si>
  <si>
    <t>Organic Computing : Doctoral Dissertation Colloquium 2018</t>
  </si>
  <si>
    <t>Naturschutzrecht und Städtebaurecht : Bundesfachtagung Naturschutzrecht 2017</t>
  </si>
  <si>
    <t>Mengel, Andreas</t>
  </si>
  <si>
    <t>Integration der Elektromobilität in die Stadtplanung und Straßenraumgestaltung – Lösungsansätze für Strategien, Konzepte und Maßnahmen</t>
  </si>
  <si>
    <t>Knese, Dennis</t>
  </si>
  <si>
    <t>Anamnetisches Theologisieren mit Kunst : Ein Beitrag zur Kirchengeschichtsdidaktik</t>
  </si>
  <si>
    <t>Konz, Britta</t>
  </si>
  <si>
    <t>Non-Energy Benefits of Industrial Energy Efficiency : Roles and Potentials</t>
  </si>
  <si>
    <t>Nehler, Therese</t>
  </si>
  <si>
    <t>Towards Individualised Treatment of Tuberculosis</t>
  </si>
  <si>
    <t>Niward, Katarina</t>
  </si>
  <si>
    <t>Surface Characterization and Manipulation of Polyampholytic Hydrogel Coatings</t>
  </si>
  <si>
    <t>Tai, Feng-I</t>
  </si>
  <si>
    <t>Physical Vapor Deposition and Thermal Stability of Hard Oxide Coatings</t>
  </si>
  <si>
    <t>Landälv, Ludvig</t>
  </si>
  <si>
    <t>Financial Literacy, Motivated Reasoning, and Gender : Essays in Behavioral Economics</t>
  </si>
  <si>
    <t>Lind, Thérèse</t>
  </si>
  <si>
    <t>Distributed Moving Base Driving Simulators : Technology, Performance, and Requirements</t>
  </si>
  <si>
    <t>Andersson, Anders</t>
  </si>
  <si>
    <t>Embedding Medication Review in Clinical Practice : Reconceptualising Implementation Using a Practice Theory Perspective</t>
  </si>
  <si>
    <t>Reichenpfader, Ursula</t>
  </si>
  <si>
    <t>Återkoppling I Analoga Och Digitala Klassrum : Spänningsfyllda Verksamheter I Samhällskunskapsundervisning</t>
  </si>
  <si>
    <t>Grönlund, Agneta</t>
  </si>
  <si>
    <t>Contraception in Women with Obesity with Special Reference to Gastric Bypass Surgery</t>
  </si>
  <si>
    <t>Ginstman, Charlotte</t>
  </si>
  <si>
    <t>Student Teachers' and Beginning Teachers' Coping with Emotionally Challenging Situations</t>
  </si>
  <si>
    <t>Lindqvist, Henrik</t>
  </si>
  <si>
    <t>Health, Obstetric Outcomes and Reproduction in Women with Vulvar Pain or Primary Fear of Childbirth</t>
  </si>
  <si>
    <t>Möller, Louise</t>
  </si>
  <si>
    <t>Inhibitors of Corneal Inflammation and Angiogenesis : Prospectives and Challenges</t>
  </si>
  <si>
    <t>Mirabelli, Pierfrancesco</t>
  </si>
  <si>
    <t>Nonlinear Materials for Optical Power Limiting : Characterization and Modelling</t>
  </si>
  <si>
    <t>Lundén, Hampus</t>
  </si>
  <si>
    <t>Movable Inn : The Rural Jewish Population of Minsk Guberniya In 1793-1914</t>
  </si>
  <si>
    <t>Kalik, Judith</t>
  </si>
  <si>
    <t>Tennyson's Poems : New Textual Parallels</t>
  </si>
  <si>
    <t>Winnick, R. H.</t>
  </si>
  <si>
    <t>Annunciations : Sacred Music for the Twenty-First Century</t>
  </si>
  <si>
    <t>Energopolitics : Wind and Power in the Anthropocene</t>
  </si>
  <si>
    <t>Boyer, Dominic</t>
  </si>
  <si>
    <t>Allegories of the Anthropocene</t>
  </si>
  <si>
    <t>DeLoughrey, Elizabeth M.</t>
  </si>
  <si>
    <t>Peripheral and Central Mechanisms in Irritable Bowel Syndrome : In Search of Links</t>
  </si>
  <si>
    <t>Bednarska, Olga</t>
  </si>
  <si>
    <t>Anaerobic Digestion in the Kraft Pulp and Paper Industry : Challenges and Possibilities for Implementation</t>
  </si>
  <si>
    <t>Ekstrand, Eva-Maria</t>
  </si>
  <si>
    <t>Krieg und Kunst Im Antiken Griechenland und Rom : Heldentum, Identität, Herrschaft, Ideologie</t>
  </si>
  <si>
    <t>Hölscher, Tonio</t>
  </si>
  <si>
    <t>The Interplay Between Organizational Capabilities and Individual Skills : Studies of Technical and Engineering Consulting Firms</t>
  </si>
  <si>
    <t>Pantic-Dragisic, Svjetlana</t>
  </si>
  <si>
    <t>Flight Test System Identification</t>
  </si>
  <si>
    <t>Larsson, Roger</t>
  </si>
  <si>
    <t>Surface Characterization of 2D Transition Metal Carbides (MXenes)</t>
  </si>
  <si>
    <t>Persson, Ingemar</t>
  </si>
  <si>
    <t>Postpartum Infections</t>
  </si>
  <si>
    <t>Procedural Sedation : Aspects on Methods, Safety and Effectiveness</t>
  </si>
  <si>
    <t>Grossmann, Benjamin</t>
  </si>
  <si>
    <t>Coherent Functors and Asymptotic Properties</t>
  </si>
  <si>
    <t>Banda, Adson</t>
  </si>
  <si>
    <t>The Challenges of Using Structured Risk Assessment Instruments in Forensic Psychiatric Care</t>
  </si>
  <si>
    <t>Levin, Sara</t>
  </si>
  <si>
    <t>Implications of Myocardial Dysfunction Before and after Aortic Valve Intervention</t>
  </si>
  <si>
    <t>Hultkvist, Henrik</t>
  </si>
  <si>
    <t>A Future History of Water</t>
  </si>
  <si>
    <t>Ballestero, Andrea</t>
  </si>
  <si>
    <t>Ecologics : Wind and Power in the Anthropocene</t>
  </si>
  <si>
    <t>Howe, Cymene</t>
  </si>
  <si>
    <t>The Fixer : Visa Lottery Chronicles</t>
  </si>
  <si>
    <t>Piot, Charles</t>
  </si>
  <si>
    <t>Barns Teckningar Som Utgångspunkt I Det Naturvetenskapliga Samtalet</t>
  </si>
  <si>
    <t>Andersson, Johanna</t>
  </si>
  <si>
    <t>Utbildning Och Hälsa I Nationens Intresse : Styrningsteknologier Och Formering Av en Förädlad Befolkning</t>
  </si>
  <si>
    <t>Åkerblom, Erika</t>
  </si>
  <si>
    <t>Business Model Design for Social Goods and Services in Developing Economies</t>
  </si>
  <si>
    <t>Lindsay Haldimann, Mirella</t>
  </si>
  <si>
    <t>Love and Intrigue : A Bourgeois Tragedy</t>
  </si>
  <si>
    <t>Doctors Behind Borders : The Ethics of Skilled Worker Emigration</t>
  </si>
  <si>
    <t>Yuksekdag, Yusuf</t>
  </si>
  <si>
    <t>Phase Stability and Defect Structures in (Ti,Al)N Hard Coatings</t>
  </si>
  <si>
    <t>Calamba, Katherine M.</t>
  </si>
  <si>
    <t>Accounting the Future : An Ethnography of the European Spallation Source</t>
  </si>
  <si>
    <t>Dimitrievski, Ivanche</t>
  </si>
  <si>
    <t>Automated Machine Learning : Methods, Systems, Challenges</t>
  </si>
  <si>
    <t>Hutter, Frank</t>
  </si>
  <si>
    <t>Peut-On Se Passer du Cuivre en Protection des Cultures Biologiques ? : Expertise Scientifique Collective</t>
  </si>
  <si>
    <t>Andrivon, Didier</t>
  </si>
  <si>
    <t>The Agroecological Transition of Agricultural Systems in the Global South</t>
  </si>
  <si>
    <t>Defects and Crystallinity Control of Perovskite Films for Light-Emitting Diodes</t>
  </si>
  <si>
    <t>Yuan, Zhongcheng</t>
  </si>
  <si>
    <t>The Pogroms in Ukraine, 1918-19 : Prelude to the Holocaust</t>
  </si>
  <si>
    <t>Wolfthal, Maurice</t>
  </si>
  <si>
    <t>Social Media in Higher Education : Case Studies, Reflections and Analysis</t>
  </si>
  <si>
    <t>Rowell, Chris</t>
  </si>
  <si>
    <t>Interregional Interaction in Ancient Mesoamerica</t>
  </si>
  <si>
    <t>Englehardt, Joshua</t>
  </si>
  <si>
    <t>The Essence of Mathematics Through Elementary Problems</t>
  </si>
  <si>
    <t>Borovik, Alexandre</t>
  </si>
  <si>
    <t>The Revolution Will Not Be Theorized : Cultural Revolution in the Black Power Era</t>
  </si>
  <si>
    <t>Henderson, Errol A.</t>
  </si>
  <si>
    <t>Image, Knife, and Gluepot : Early Assemblage in Manuscript and Print</t>
  </si>
  <si>
    <t>Make We Merry More and Less : An Anthology of Medieval English Popular Literature</t>
  </si>
  <si>
    <t>Gray, Douglas</t>
  </si>
  <si>
    <t>Elektroniska Marknadsplatser : IT-Stöd För Små Och Medelstora Leverantörer</t>
  </si>
  <si>
    <t>Petersson, Johan</t>
  </si>
  <si>
    <t>Growth of 3C-SiC and Graphene for Solar Water-Splitting Application</t>
  </si>
  <si>
    <t>Shi, Yuchen</t>
  </si>
  <si>
    <t>Vascular Access in Cancer Patients - Clinical Implications</t>
  </si>
  <si>
    <t>Taxbro, Knut</t>
  </si>
  <si>
    <t>Studies on Polarised Light Spectroscopy</t>
  </si>
  <si>
    <t>Bergkvist, Max</t>
  </si>
  <si>
    <t>Improving the Performance of Gas Sensor Systems with Advanced Data Evaluation, Operation, and Calibration Methods</t>
  </si>
  <si>
    <t>Bastuck, Manuel</t>
  </si>
  <si>
    <t>Pandemic Disease in the Medieval World : Rethinking the Black Death</t>
  </si>
  <si>
    <t>Stability, Dual Consistency and Conservation of Summation-By-parts Formulations for Multiphysics Problems</t>
  </si>
  <si>
    <t>Ghasemi Zinatabadi, Fatemeh</t>
  </si>
  <si>
    <t>Atom Probe Tomography of Hard Nitride and Boride Thin Films</t>
  </si>
  <si>
    <t>Engberg, David L. J.</t>
  </si>
  <si>
    <t>History of International Relations : A Non-European Perspective</t>
  </si>
  <si>
    <t>Ringmar, Erik</t>
  </si>
  <si>
    <t>The Importance of Macrophages, Lipid Membranes and Seeding in Experimental AA Amyloidosis</t>
  </si>
  <si>
    <t>Vahdat Shariatpanahi, Aida</t>
  </si>
  <si>
    <t>Supply Chain Governance for Social Sustainability : A Study of the Ready-Made Garment Industry in Bangladesh</t>
  </si>
  <si>
    <t>Farhad, Nandita</t>
  </si>
  <si>
    <t>The Birth of Energy : Fossil Fuels, Thermodynamics, and the Politics of Work</t>
  </si>
  <si>
    <t>Daggett, Cara New</t>
  </si>
  <si>
    <t>Beside You in Time : Sense Methods and Queer Sociabilities in the American Nineteenth Century</t>
  </si>
  <si>
    <t>Freeman, Elizabeth</t>
  </si>
  <si>
    <t>Latter-Day Screens : Gender, Sexuality, and Mediated Mormonism</t>
  </si>
  <si>
    <t>Weber, Brenda R.</t>
  </si>
  <si>
    <t>Fundamentals for the Anthropocene</t>
  </si>
  <si>
    <t>Pearce, Jack</t>
  </si>
  <si>
    <t>Painting the Sky Black : Louis Kahn and the Architectonization of Nature</t>
  </si>
  <si>
    <t>Sauter, Florian</t>
  </si>
  <si>
    <t>Contemporary Debates in Bioethics: European Perspectives</t>
  </si>
  <si>
    <t>Mihailov, Emilian</t>
  </si>
  <si>
    <t>Transport, Fluids, and Mixing</t>
  </si>
  <si>
    <t>Crippa, Gianluca</t>
  </si>
  <si>
    <t>The Politics of Language Contact in the Himalaya</t>
  </si>
  <si>
    <t>Sonntag, Selma K.</t>
  </si>
  <si>
    <t>Encountering Evolution : Children's Meaning-Making Processes in Collaborative Interactions</t>
  </si>
  <si>
    <t>Frejd, Johanna</t>
  </si>
  <si>
    <t>Learning Human Gait</t>
  </si>
  <si>
    <t>Kasebzadeh, Parinaz</t>
  </si>
  <si>
    <t>Scalable Dynamic Analysis of Binary Code</t>
  </si>
  <si>
    <t>Kargén, Ulf</t>
  </si>
  <si>
    <t>Mechanisms of Mechanically Induced Osteoclastogenesis : In a Novel in Vitro Model for Bone Implant Loosening</t>
  </si>
  <si>
    <t>Bratengeier, Cornelia</t>
  </si>
  <si>
    <t>Control of Hybrid Hydromechanical Transmissions</t>
  </si>
  <si>
    <t>Larsson, L. Viktor</t>
  </si>
  <si>
    <t>Exercise Testing in Firefighters : Work Capacity and Cardiovascular Risk Assessment in a Low-Risk Population</t>
  </si>
  <si>
    <t>Carlén, Anna</t>
  </si>
  <si>
    <t>Bottom-up Network Restoration Based on Distributed Generation</t>
  </si>
  <si>
    <t>Shen, Cong</t>
  </si>
  <si>
    <t>Biblische Textauslegung im Kontext der Kindertheologie : Eine Untersuchung zur Auslegungskompetenz von Kindern auch in Bezug auf die Vorgaben aktueller Kerncurricula</t>
  </si>
  <si>
    <t>Albrecht, Eva Caroline</t>
  </si>
  <si>
    <t>Das Studium der Geschichte : Vorlesungsgeschichte und autobiographische Erzählungen 1945-2017</t>
  </si>
  <si>
    <t>Soldwisch, Ines Ines</t>
  </si>
  <si>
    <t>Gemeinschaft im Wendland : Zwischen Individualität und Zusammenhalt</t>
  </si>
  <si>
    <t>Holthaus, Nadine</t>
  </si>
  <si>
    <t>Abwärmepotenzial von Industrieöfen : Messtechnische Untersuchung und Simulationsstudie</t>
  </si>
  <si>
    <t>Meuser, Jeanette</t>
  </si>
  <si>
    <t>Lehrerfortbildung zwischen Selbstorganisation und Steuerungsillusion : Die Entwicklung der hessischen Lehrerfortbildung von der Gründung des Lehrerfortbildungswerkes (1951) bis zur Auflösung des Landesinstituts für Pädagogik (2005) Auftrag, Konzepte, Strukturen, Praxis, Perspektiven</t>
  </si>
  <si>
    <t>Imschweiler, Volker</t>
  </si>
  <si>
    <t>Bewertung des Einflusses von integrierten Festwalzprozessen auf das Ermüdungsverhalten unter komplexen Beanspruchungen</t>
  </si>
  <si>
    <t>Saalfeld, Stephanie</t>
  </si>
  <si>
    <t>Der Glaube im Leistungskontext des Religionsunterrichts : Theologisieren über die Rechtfertigungslehre in der gymnasialen Oberstufe mit Martin Luthers Siegelring</t>
  </si>
  <si>
    <t>Bausch, Heike Regine</t>
  </si>
  <si>
    <t>Entrepreneurs' Acceptance of Digital Marketing-Communication Technologies : A European Study</t>
  </si>
  <si>
    <t>Schuster, Oliver</t>
  </si>
  <si>
    <t>Soziale Innovationen: Alter(n) in ländlichen Räumen : Perspektiven von Selbstorganisation, Teilhabe und Versorgung</t>
  </si>
  <si>
    <t>Erweiterte, modellbasierte Systemanalyse am Beispiel einer nasslaufenden Lamellenkupplung</t>
  </si>
  <si>
    <t>Bartholmai, Björn</t>
  </si>
  <si>
    <t>Der letzte Dreck?! : Bodenschutz in Politik und Praxis Dokumentationsband der 26. Witzenhäuser Konferenz 04.12 - 08.12.2018</t>
  </si>
  <si>
    <t>Projektgruppe Der letzte Dreck?!</t>
  </si>
  <si>
    <t>How Service Ideas Are Implemented : Ways of Framing and Addressing Service Transformation</t>
  </si>
  <si>
    <t>Overkamp, Tim</t>
  </si>
  <si>
    <t>Cerium Oxide Nanoparticles and Gadolinium Integration : Synthesis, Characterization and Biomedical Applications</t>
  </si>
  <si>
    <t>Eriksson, Peter</t>
  </si>
  <si>
    <t>Climbing up the Hearing Rehabilitation Ladder</t>
  </si>
  <si>
    <t>Ingo, Elisabeth</t>
  </si>
  <si>
    <t>Ludotopia : Spaces, Places and Territories in Computer Games</t>
  </si>
  <si>
    <t>Aarseth, Espen</t>
  </si>
  <si>
    <t>Eigenvalue Analysis and Convergence Acceleration Techniques for Summation-By-parts Approximations</t>
  </si>
  <si>
    <t>Ruggiu, Andrea Alessandro</t>
  </si>
  <si>
    <t>Self-Care: the Way to Find Balance in Life : Development and Evaluation of a Self-Care Questionnaire for Patients with Inflammatory Bowel Disease</t>
  </si>
  <si>
    <t>Lovén Wickman, Ulrica</t>
  </si>
  <si>
    <t>Atomic and Electronic Structures of Two-Dimensional Layers on Noble Metals</t>
  </si>
  <si>
    <t>Shah, Jalil</t>
  </si>
  <si>
    <t>Adaptation in the Age of Media Convergence</t>
  </si>
  <si>
    <t>Fehrle, Johannes</t>
  </si>
  <si>
    <t>Conservation Biology in Sub-Saharan Africa</t>
  </si>
  <si>
    <t>Wilson, John W.</t>
  </si>
  <si>
    <t>The Big Thaw : Policy, Governance, and Climate Change in the Circumpolar North</t>
  </si>
  <si>
    <t>Zubrow, Ezra B. W.</t>
  </si>
  <si>
    <t>Eutectic Modification of Al-Si Casting Alloys</t>
  </si>
  <si>
    <t>Barrirero, Jenifer</t>
  </si>
  <si>
    <t>Circulating Levels and Assessment of Clinical Laboratory Analytes, in &gt;80-Year-old, Apparently Healthy, Moderately Healthy, and Frail Individuals</t>
  </si>
  <si>
    <t>Edvardsson, Maria</t>
  </si>
  <si>
    <t>Beyond Jewish Identity : Rethinking Concepts and Imagining Alternatives</t>
  </si>
  <si>
    <t>Energy Renovation of Multi-Family Buildings in Sweden : An Evaluation of Life Cycle Costs, Indoor Environment and Primary Energy Use, and a Comparison with Constructing a New Building</t>
  </si>
  <si>
    <t>La Fleur, Lina</t>
  </si>
  <si>
    <t>Dementia Diagnostics in Primary Care : With a Focus on Cognitive Testing</t>
  </si>
  <si>
    <t>Segernäs Kvitting, Anna</t>
  </si>
  <si>
    <t>Folkbildning I Global (o)rättvisa : Makt Och Motstånd I Folkhögskolans Internationalisering Och Transnationella Kurser</t>
  </si>
  <si>
    <t>Österborg Wiklund, Sofia</t>
  </si>
  <si>
    <t>Modelling of Crack Growth in Single-Crystal Nickel-Base Superalloys</t>
  </si>
  <si>
    <t>Busse, Christian</t>
  </si>
  <si>
    <t>Monitoring of Product Variants in Biopharmaceutical Downstream Processing : Mechanistic and Data-Driven Modeling Approaches</t>
  </si>
  <si>
    <t>Roch, Patricia</t>
  </si>
  <si>
    <t>Non-Alcoholic Fatty Liver Disease : Aspects on Diagnosis and Long-Term Prognosis</t>
  </si>
  <si>
    <t>Nasr, Patrik</t>
  </si>
  <si>
    <t>Immigrant Entrepreneurs in a Changing Institutional Context : A Mixed Embeddedness Approach</t>
  </si>
  <si>
    <t>Kazlou, Aliaksei</t>
  </si>
  <si>
    <t>Nahverkehrs-Tage 2019 : Finanzierung des öffentlichen Verkehrs: zwischen leistungsorientierten E-Tarifen, preisgünstigen Flats und Drittnutzerfinanzierung</t>
  </si>
  <si>
    <t>Verkehrswesen</t>
  </si>
  <si>
    <t>Landschaft, ein System? : Analyse systemtheoretischer Ansätze mit Bezug zur Landschaftsplanung vor dem Hintergrund der vielfältigen Bedeutungen des deutschen Landschaftsbegriffs</t>
  </si>
  <si>
    <t>Hoheisel, Deborah Iljana</t>
  </si>
  <si>
    <t>“Do Not Be Concerned Only About Yourself…” : Transcendence and Its Importance for the Socialization and Formation of a Child's Personality</t>
  </si>
  <si>
    <t>Bravená, Noemi</t>
  </si>
  <si>
    <t>Generative Vorhersagetechniken für Raten und Ontologie-basierte Ähnlichkeitsberechnung mit Anwendungen im Suchmaschinenmarketing</t>
  </si>
  <si>
    <t>Kalkowski, Edgar</t>
  </si>
  <si>
    <t>Essays on Paula Rego : Smile When You Think about Hell</t>
  </si>
  <si>
    <t>Theoretical and Practical Advances in Computer-Based Educational Measurement</t>
  </si>
  <si>
    <t>Veldkamp, Bernard P.</t>
  </si>
  <si>
    <t>Regional and Local Development in Times of Polarisation : Re-Thinking Spatial Policies in Europe</t>
  </si>
  <si>
    <t>Lang, Thilo</t>
  </si>
  <si>
    <t>Inventing Cinema : Machines, Gestures and Media History</t>
  </si>
  <si>
    <t>Turquety, Benoît</t>
  </si>
  <si>
    <t>Injury Prevention in Youth Football Players : Training Effects and Programme Implementation</t>
  </si>
  <si>
    <t>Lindblom, Hanna</t>
  </si>
  <si>
    <t>Biomarkers and Disease Activity in Multiple Sclerosis : A Cohort Study on Patients with Clinically Isolated Syndrome and Relapsing Remitting Multiple Sclerosis</t>
  </si>
  <si>
    <t>Håkansson, Irene</t>
  </si>
  <si>
    <t>Engaging Researchers with Data Management : The Cookbook</t>
  </si>
  <si>
    <t>Clare, Connie</t>
  </si>
  <si>
    <t>Labor and Value : Rethinking Marx's Theory of Exploitation</t>
  </si>
  <si>
    <t>Screpanti, Ernesto</t>
  </si>
  <si>
    <t>Studies on Selected Topics in Radio Frequency Digital-To-Analog Converters</t>
  </si>
  <si>
    <t>Sadeghifar, Mohammad Reza</t>
  </si>
  <si>
    <t>Exposure and Body Burden of Environmental Pollution and Risk of Cancer in a Historically Contaminated Areas</t>
  </si>
  <si>
    <t>Helmfrid, Ingela</t>
  </si>
  <si>
    <t>Intermittent Fasting in Chickens : Physiological Mechanisms and Welfare Implications for Broiler Breeders</t>
  </si>
  <si>
    <t>Lindholm, Caroline</t>
  </si>
  <si>
    <t>The Propagation of Neurodegenerative Diseases by Inflammation and Exosomes</t>
  </si>
  <si>
    <t>Sackmann, Valerie</t>
  </si>
  <si>
    <t>Visual Grading Evaluation of Reconstruction Methods and Dose Optimisation in Abdominal Computed Tomography</t>
  </si>
  <si>
    <t>Kataria, Bharti</t>
  </si>
  <si>
    <t>Dynamics of Coinfection : Complexity and Implications</t>
  </si>
  <si>
    <t>Ghersheen, Samia</t>
  </si>
  <si>
    <t>Investigation of the Intercellular Transmission of &amp;alpha</t>
  </si>
  <si>
    <t>Visions of Electric Media : Television in the Victorian and Machine Ages</t>
  </si>
  <si>
    <t>Roberts, Ivy</t>
  </si>
  <si>
    <t>The Effects of Flaxseed and Tamoxifen on the Inflammatory Microenvironment in Normal Breast Tissue and in Breast Cancer</t>
  </si>
  <si>
    <t>Lindahl, Gabriel</t>
  </si>
  <si>
    <t>Multifunctional Supramolecular Organic Ferroelectrics</t>
  </si>
  <si>
    <t>Urbanaviciute, Indre</t>
  </si>
  <si>
    <t>Quality Management Competencies-In-use : Exploring Competence and Practice Perspectives on Quality Management Work</t>
  </si>
  <si>
    <t>Martin, Jason</t>
  </si>
  <si>
    <t>Effects of Pregnancy and Hormones on T Cell Immune Regulation in Multiple Sclerosis</t>
  </si>
  <si>
    <t>Hellberg, Sandra</t>
  </si>
  <si>
    <t>Taking the EU to Court : Annulment Proceedings and Multilevel Judicial Conflict</t>
  </si>
  <si>
    <t>Adam, christian</t>
  </si>
  <si>
    <t>A Fragile Inheritance : Radical Stakes in Contemporary Indian Art</t>
  </si>
  <si>
    <t>Mathur, Saloni</t>
  </si>
  <si>
    <t>Total Cost Analysis in Logistics : Practical Execution, Learning, and Teaching in Higher Education</t>
  </si>
  <si>
    <t>Oskarsson, Bjö</t>
  </si>
  <si>
    <t>NT-ProBNP As a Marker of Postoperative Heart Failure in Adult Cardiac Surgery</t>
  </si>
  <si>
    <t>Jiang, Huiqi</t>
  </si>
  <si>
    <t>Photopatternable Electrolytes for Conducting Polymer Actuators</t>
  </si>
  <si>
    <t>Zhong, Yong</t>
  </si>
  <si>
    <t>Thermoelectric Polymer-Cellulose composite Aerogels</t>
  </si>
  <si>
    <t>Han, Shaobo</t>
  </si>
  <si>
    <t>Screening Race in American Nontheatrical Film</t>
  </si>
  <si>
    <t>Field, Allyson Nadia</t>
  </si>
  <si>
    <t>Autistic Community and the Neurodiversity Movement : Stories from the Frontline</t>
  </si>
  <si>
    <t>Kapp, Steven K.</t>
  </si>
  <si>
    <t>Designing for Sketching to Support Concept Exploration</t>
  </si>
  <si>
    <t>Tran Luciani, Danwei</t>
  </si>
  <si>
    <t>Polymorphic Protein Aggregation in Tauopathies</t>
  </si>
  <si>
    <t>Sandberg, Alexander</t>
  </si>
  <si>
    <t>Cancer and Reconstructive Surgery in Inflammatory Bowel Disease</t>
  </si>
  <si>
    <t>Abdalla, Maie</t>
  </si>
  <si>
    <t>Plasma Synthesis and Self-Assembly of Magnetic Nanoparticles</t>
  </si>
  <si>
    <t>Ekeroth, Sebastian</t>
  </si>
  <si>
    <t>Happy with the Method? : Sexual Function Changes in Young Women Using Contraception</t>
  </si>
  <si>
    <t>Malmborg, Agota</t>
  </si>
  <si>
    <t>On the Microstructures and Anisotropic Mechanical Behaviours of Additively Manufactured IN718</t>
  </si>
  <si>
    <t>Deng, Dunyong</t>
  </si>
  <si>
    <t>Robust Stream Reasoning under Uncertainty</t>
  </si>
  <si>
    <t>de Leng, Daniel</t>
  </si>
  <si>
    <t>Cooperation and Resource Allocation in Wireless Networking Towards the IoT</t>
  </si>
  <si>
    <t>Avgouleas, Ioannis M.</t>
  </si>
  <si>
    <t>Att Bota en Prostata : Kastrering Som Behandlingsmetod För Prostatahypertrofi 1893-1910</t>
  </si>
  <si>
    <t>Björk, Elin</t>
  </si>
  <si>
    <t>Electrochemical Reactions of Quinones at Conducting Polymer Electrodes</t>
  </si>
  <si>
    <t>Che, Canyan</t>
  </si>
  <si>
    <t>Treatment Decision after Anterior Cruciate Ligament Injury, and Evaluation of Measurement Properties of a Patient Reported Outcome Measure</t>
  </si>
  <si>
    <t>Tigerstrand Grevnerts, Hanna</t>
  </si>
  <si>
    <t>Studies for Better Treatment of Patients with Glioma</t>
  </si>
  <si>
    <t>Malmström, Annika</t>
  </si>
  <si>
    <t>Performance of MCrAlX Coatings : Oxidation, Hot Corrosion and Interdiffusion</t>
  </si>
  <si>
    <t>The Importance of Demographic and Geographical Factors on the Incidence and Outcome of Systemic Small Vessel Vasculitis Associated with Anti-Neutrophil Cytoplasmic Antibodies</t>
  </si>
  <si>
    <t>Weiner, Maria</t>
  </si>
  <si>
    <t>Studying the Healing and Long-Term Outcomes of Two Partial Thickness Wound Models Using Different Wound Dressings</t>
  </si>
  <si>
    <t>Karlsson, Matilda</t>
  </si>
  <si>
    <t>Ethnography #9</t>
  </si>
  <si>
    <t>Klima, Alan</t>
  </si>
  <si>
    <t>Learning to Analyze What Is Beyond the Visible Spectrum</t>
  </si>
  <si>
    <t>Berg, Amanda</t>
  </si>
  <si>
    <t>Acoustic and Afterload Evaluation of Left Ventricular Assist Devices</t>
  </si>
  <si>
    <t>Sundbom, Per</t>
  </si>
  <si>
    <t>Design Optimization of Unmanned Aerial Vehicles : A System of Systems Approach</t>
  </si>
  <si>
    <t>Papageorgiou, Athanasios</t>
  </si>
  <si>
    <t>Theft Is Property! : Dispossession and Critical Theory</t>
  </si>
  <si>
    <t>Nichols, Robert</t>
  </si>
  <si>
    <t>The Licit Life of Capitalism : US Oil in Equatorial Guinea</t>
  </si>
  <si>
    <t>Appel, Hannah</t>
  </si>
  <si>
    <t>Pharmacogenetic Biomarkers for Chemotherapy-Induced Adverse Drug Reactions</t>
  </si>
  <si>
    <t>Bjö, Niclas</t>
  </si>
  <si>
    <t>Keeping Track of Time : Daily Time Management, Participation, and Time-Related Interventions for Children, Adolescents, and Young Adults with Neurodevelopmental Disorders</t>
  </si>
  <si>
    <t>Wennberg, Birgitta</t>
  </si>
  <si>
    <t>On Safe Collaborative Assembly with Large Industrial Robots</t>
  </si>
  <si>
    <t>Gopinath, Varun</t>
  </si>
  <si>
    <t>Circulating Biomarkers in Patients with Head and Neck Cancer and the Influence of Cigarette Smoking</t>
  </si>
  <si>
    <t>Andersson, Bengt-Åke</t>
  </si>
  <si>
    <t>Prediction of Side Effects from Anticancer Treatment with the Purpose of Increasing Quality of Life</t>
  </si>
  <si>
    <t>Oliva, Delmy</t>
  </si>
  <si>
    <t>Advanced Analysis of Diffusion MRI Data</t>
  </si>
  <si>
    <t>Gu, Xuan</t>
  </si>
  <si>
    <t>Her Story in Partonopeu de Blois : Rereading Byzantine Relations</t>
  </si>
  <si>
    <t>Söderblom Saarela, Ellen</t>
  </si>
  <si>
    <t>Blood Flow Dynamics in Burns</t>
  </si>
  <si>
    <t>Mirdell, Robin</t>
  </si>
  <si>
    <t>Data Abstraction and Pattern Identification in Time-Series Data</t>
  </si>
  <si>
    <t>Muthumanickam, Prithiviraj</t>
  </si>
  <si>
    <t>Die Emanzipation des hybriden Selbst : Identität, Kultur und Literatur in Luxemburg</t>
  </si>
  <si>
    <t>Baumann, Isabell Eva</t>
  </si>
  <si>
    <t>Everything Man : The Form and Function of Paul Robeson</t>
  </si>
  <si>
    <t>Redmond, Shana L.</t>
  </si>
  <si>
    <t>Sacred Men : Law, Torture, and Retribution in Guam</t>
  </si>
  <si>
    <t>Camacho, Keith L.</t>
  </si>
  <si>
    <t>Rotator Cuff Tears : Short- and Long-Term Aspects on Treatment Outcome</t>
  </si>
  <si>
    <t>Ranebo, Mats</t>
  </si>
  <si>
    <t>Theoretical and Experimental Studies on Early Transition Metal Nitrides for Thermoelectrics</t>
  </si>
  <si>
    <t>Gharavi, Mohammad Amin</t>
  </si>
  <si>
    <t>Zootechnologies : A Media History of Swarm Research</t>
  </si>
  <si>
    <t>Vehlken, Sebastian</t>
  </si>
  <si>
    <t>Prose Fiction : An Introduction to the Semiotics of Narrative</t>
  </si>
  <si>
    <t>Ribó, Ignasi</t>
  </si>
  <si>
    <t>Non-Communicable Disease Prevention : Best Buys, Wasted Buys and Contestable Buys</t>
  </si>
  <si>
    <t>Isaranuwatchai, Wanrudee</t>
  </si>
  <si>
    <t>Affective Justice : The International Criminal Court and the Pan-Africanist Pushback</t>
  </si>
  <si>
    <t>Clarke, Kamari Maxine</t>
  </si>
  <si>
    <t>Management Control for Sustainability : Activities and Procedures for Energy Management in Industrial Companies</t>
  </si>
  <si>
    <t>Rasmussen, Josefine</t>
  </si>
  <si>
    <t>Spatial Resource Allocation in Massive MIMO Communications : From Cellular to Cell-Free</t>
  </si>
  <si>
    <t>Van Chien, Trinh</t>
  </si>
  <si>
    <t>Non-Invasive Characterization of Liver Disease : By Multimodal Quantitative Magnetic Resonance</t>
  </si>
  <si>
    <t>Karlsson, Markus</t>
  </si>
  <si>
    <t>Clinical and Methodological Aspects on Perineal Laceration Diagnostics at Childbirth</t>
  </si>
  <si>
    <t>Pihl, Sofia</t>
  </si>
  <si>
    <t>Optimization-Based Models for Measuring and Hedging Risk in Fixed Income Markets</t>
  </si>
  <si>
    <t>Hagenbjörk, Johan</t>
  </si>
  <si>
    <t>Machine Learning Models for Predictive Maintenance</t>
  </si>
  <si>
    <t>Voronov, Sergii</t>
  </si>
  <si>
    <t>On Quality Improvement in Gynaecological Cancer Surgery</t>
  </si>
  <si>
    <t>Serreyn Lundin, Evelyn</t>
  </si>
  <si>
    <t>Genetic and Molecular Alterations in Aldosterone Producing Adenomas</t>
  </si>
  <si>
    <t>Dutta, Ravi Kumar</t>
  </si>
  <si>
    <t>The Creative Underclass : Youth, Race, and the Gentrifying City</t>
  </si>
  <si>
    <t>Denmead, Tyler</t>
  </si>
  <si>
    <t>Neighbourhood Nursing : Connection, Place and Meaning in the Everyday Experience of Dementia</t>
  </si>
  <si>
    <t>Odzakovic, Elzana</t>
  </si>
  <si>
    <t>Identification and Clinical Evaluation of Senescence-Associated Markers to Distinguish Melanocytic Nevi from Melanomas</t>
  </si>
  <si>
    <t>Orfanidis, Kyriakos</t>
  </si>
  <si>
    <t>Chemical Vapour Deposition of sp 2 -Hybridised B-C-N Materials from Organoborons</t>
  </si>
  <si>
    <t>Souqui, Laurent</t>
  </si>
  <si>
    <t>Affective Trajectories : Religion and Emotion in African Cityscapes</t>
  </si>
  <si>
    <t>Dilger, Hansjörg</t>
  </si>
  <si>
    <t>Inflammatory Signaling Across the Blood-Brain Barrier and the Generation of Fever</t>
  </si>
  <si>
    <t>Eskilsson, Anna</t>
  </si>
  <si>
    <t>The Waning Sword : Conversion Imagery and Celestial Myth In 'Beowulf'</t>
  </si>
  <si>
    <t>Pettit, Edward</t>
  </si>
  <si>
    <t>The DARPA Model for Transformative Technologies : Perspectives on the U. S. Defense Advanced Research Projects Agency</t>
  </si>
  <si>
    <t>Bonvillian, William Boone</t>
  </si>
  <si>
    <t>Den Offentliga Ohälsan : En Historisk Studie Av Barnpsykologi Och -Psykiatri I Svensk Media 1968-2008</t>
  </si>
  <si>
    <t>Skagius, Peter</t>
  </si>
  <si>
    <t>Toxicity and Pharmacokinetic Biomarkers for Personalized Non-Small Cell Lung Cancer Treatment</t>
  </si>
  <si>
    <t>Svedberg, Anna</t>
  </si>
  <si>
    <t>Exploring Alternative Massive MIMO Designs : Superimposed Pilots and Mixed-ADCs</t>
  </si>
  <si>
    <t>Verenzuela, Daniel</t>
  </si>
  <si>
    <t>Pawsitive Selection : Genetics of Dog-Human Communication</t>
  </si>
  <si>
    <t>Persson, Mia</t>
  </si>
  <si>
    <t>Visualizing Fascism : The Twentieth-Century Rise of the Global Right</t>
  </si>
  <si>
    <t>Thomas, Julia Adeney</t>
  </si>
  <si>
    <t>Technocrats of the Imagination : Art, Technology, and the Military-Industrial Avant-Garde</t>
  </si>
  <si>
    <t>Beck, John</t>
  </si>
  <si>
    <t>Multiple Imaginaries of the Fossil Fuel Free Future : Biogas and Electricity in Swedish Urban Transport</t>
  </si>
  <si>
    <t>Mutter, Amelia</t>
  </si>
  <si>
    <t>Hybrid Plasmonics for Energy Harvesting and Sensing of Radiation and Heat</t>
  </si>
  <si>
    <t>Shiran Chaharsoughi, Mina</t>
  </si>
  <si>
    <t>Determinants of Audit Fees and the Management of Corporate Disclosures</t>
  </si>
  <si>
    <t>Axén, Linus</t>
  </si>
  <si>
    <t>Amerikanische Aristokraten : Die Van Rensselaer-Familie zwischen Kolonialzeit und Früher Republik, 1630-1857</t>
  </si>
  <si>
    <t>Anderson, Jonas</t>
  </si>
  <si>
    <t>Boundary Value Problems, Weyl Functions, and Differential Operators</t>
  </si>
  <si>
    <t>Behrndt, Jussi</t>
  </si>
  <si>
    <t>Programming for Computations - Python : A Gentle Introduction to Numerical Simulations with Python 3. 6</t>
  </si>
  <si>
    <t>Linge, Svein</t>
  </si>
  <si>
    <t>Sensor and Signature Modeling for Aircraft Conceptual Development</t>
  </si>
  <si>
    <t>Marcus, Carina</t>
  </si>
  <si>
    <t>Time of Flight Estimation for Radio Network Positioning</t>
  </si>
  <si>
    <t>Radnosrati, Kamiar</t>
  </si>
  <si>
    <t>Health-Related Quality of Life after Cardiac Arrest</t>
  </si>
  <si>
    <t>Israelsson, Johan</t>
  </si>
  <si>
    <t>Overcoming Limitations of Iontronic Delivery Devices</t>
  </si>
  <si>
    <t>Seitanidou, Maria</t>
  </si>
  <si>
    <t>Pharmacogenetic Studies of Thiopurine Methyltransferase Genotype-Phenotype Concordance and Effect of Methotrexate on Thiopurine Metabolism</t>
  </si>
  <si>
    <t>Zimdahl, Anna</t>
  </si>
  <si>
    <t>Chorus of the Saved : Constructing the Holocaust Survivor in Swedish Public Discourse, 1943-1966</t>
  </si>
  <si>
    <t>Wagrell, Kristin</t>
  </si>
  <si>
    <t>Computational Photography : High Dynamic Range and Light Fields</t>
  </si>
  <si>
    <t>Hajisharif, Saghi</t>
  </si>
  <si>
    <t>Kähler-Poisson Algebras</t>
  </si>
  <si>
    <t>Al-Shujary, Ahmed</t>
  </si>
  <si>
    <t>The Tiberian Pronunciation Tradition of Biblical Hebrew, Volume 1</t>
  </si>
  <si>
    <t>Khan, Geoffrey</t>
  </si>
  <si>
    <t>The Tiberian Pronunciation Tradition of Biblical Hebrew, Volume 2</t>
  </si>
  <si>
    <t>Mobile Mapping : Space, Cartography and the Digital</t>
  </si>
  <si>
    <t>Wilmott, Clancy</t>
  </si>
  <si>
    <t>Digital Technology and the Practices of Humanities Research</t>
  </si>
  <si>
    <t>Edmond, Jennifer</t>
  </si>
  <si>
    <t>Organic Electronic Materials for Hydrogen Peroxide Production</t>
  </si>
  <si>
    <t>Gryszel, Maciej</t>
  </si>
  <si>
    <t>Revolution and Disenchantment : Arab Marxism and the Binds of Emancipation</t>
  </si>
  <si>
    <t>Bardawil, Fadi A.</t>
  </si>
  <si>
    <t>Fictions of Legibility : The Human Face and Body in Modern German Novels from Sophie von La Roche to Alfred Döblin</t>
  </si>
  <si>
    <t>Stoicea, Gabriela</t>
  </si>
  <si>
    <t>The Influence of Clients on the Social Identities Within the Audit Profession</t>
  </si>
  <si>
    <t>Sylvander, Johanna</t>
  </si>
  <si>
    <t>Synthesis and Characterization of Two- and Three-Dimensional Nanolaminated Carbides</t>
  </si>
  <si>
    <t>Tao, Quanzheng</t>
  </si>
  <si>
    <t>Improving Design for Remanufacturing Though Feedback from Remanufacturing to Design</t>
  </si>
  <si>
    <t>Lindkvist Haziri, Louise</t>
  </si>
  <si>
    <t>Paris in the Dark : Going to the Movies in the City of Light, 1930-1950</t>
  </si>
  <si>
    <t>Smoodin, Eric</t>
  </si>
  <si>
    <t>Charlotte Smith and the Sonnet : Form, Place and Tradition in the Late Eighteenth Century</t>
  </si>
  <si>
    <t>Liverpool University Press</t>
  </si>
  <si>
    <t>Roberts, Bethan</t>
  </si>
  <si>
    <t>Fellow Travellers : Communist Trade Unionism and Industrial Relations on the French Railways, 1914-1939</t>
  </si>
  <si>
    <t>Beaumont, Thomas</t>
  </si>
  <si>
    <t>Ethnopornography : Sexuality, Colonialism, and Archival Knowledge</t>
  </si>
  <si>
    <t>Sigal, Pete</t>
  </si>
  <si>
    <t>Doing Things Together : Towards a Health Promoting Approach to Couples' Relationships and Everyday Life in Dementia</t>
  </si>
  <si>
    <t>Bielsten, Therése</t>
  </si>
  <si>
    <t>Managing Quality in Cross-Cultural Settings</t>
  </si>
  <si>
    <t>Wangwacharakul, Promporn</t>
  </si>
  <si>
    <t>Doctoral Education in the Entrepreneurial University : Enhanced Employability?</t>
  </si>
  <si>
    <t>Germain-Alamartine, Eloïse</t>
  </si>
  <si>
    <t>Electronic Transitions and Correlation Effects : From Pure Elements to Complex Materials</t>
  </si>
  <si>
    <t>Jönsson, Johan</t>
  </si>
  <si>
    <t>Customer Benefits in City Logistics : Towards Viable Urban Consolidation Centres</t>
  </si>
  <si>
    <t>Johansson, Henrik</t>
  </si>
  <si>
    <t>Synthesis and Characterization of Some Nanostructured Materials for Visible Light-Driven Photo Processes</t>
  </si>
  <si>
    <t>Adam, Rania Elhadi</t>
  </si>
  <si>
    <t>Laser Speckle Contrast Imaging in Reconstructive Surgery</t>
  </si>
  <si>
    <t>Zötterman, Johan</t>
  </si>
  <si>
    <t>Upper Extremity Impairments in Type 1 Diabetes in Comparison to Matched Controls Without Diabetes : Associations to the IGF-System, Metabolic Factors, Disability and Quality of Life</t>
  </si>
  <si>
    <t>Gutefeldt, Kerstin</t>
  </si>
  <si>
    <t>Applications of Partial Polymorphisms in (Fine-Grained) Complexity of Constraint Satisfaction Problems</t>
  </si>
  <si>
    <t>Roy, Biman</t>
  </si>
  <si>
    <t>Gallucci's Commentary on dürer's 'Four Books on Human Proportion' : Renaissance Proportion Theory</t>
  </si>
  <si>
    <t>Hutson, James</t>
  </si>
  <si>
    <t>Models in Microeconomic Theory ('He' Edition)</t>
  </si>
  <si>
    <t>Osborne, Martin J.</t>
  </si>
  <si>
    <t>Models in Microeconomic Theory ('She' Edition)</t>
  </si>
  <si>
    <t>Agency : Moral Identity and Free Will</t>
  </si>
  <si>
    <t>Weissman, David</t>
  </si>
  <si>
    <t>Important Factors for Accurate Scale-Resolving Simulations of Automotive Aerodynamics</t>
  </si>
  <si>
    <t>Ekman, Petter</t>
  </si>
  <si>
    <t>To See or Not to See : A Study on Capillary Refill</t>
  </si>
  <si>
    <t>Toll, Rani</t>
  </si>
  <si>
    <t>Time to Plan : How to Support Everyday Planning in Adolescents with Intellectual Disability</t>
  </si>
  <si>
    <t>Palmqvist, Lisa</t>
  </si>
  <si>
    <t>Human-Automation Teamwork : Current Practices and Future Directions in Air Traffic Control</t>
  </si>
  <si>
    <t>Svensson, Åsa</t>
  </si>
  <si>
    <t>Physical Fitness in Hospitalized Frail Elderly Patients</t>
  </si>
  <si>
    <t>Åhlund, Kristina</t>
  </si>
  <si>
    <t>Learning to Make Safe Real-Time Decisions under Uncertainty for Autonomous Robots</t>
  </si>
  <si>
    <t>Andersson, Olov</t>
  </si>
  <si>
    <t>Antinuclear and Antiphospholipid Antibodies Versus Disease Manifestations and Clinical Outcomes in Systemic Lupus Erythematosus</t>
  </si>
  <si>
    <t>Frodlund, Martina</t>
  </si>
  <si>
    <t>The Life and Letters of William Sharp and Fiona Macleod : Volume 2: 1895-1899</t>
  </si>
  <si>
    <t>Age of Information Aware Communication Systems : Modeling and Performance Analysis</t>
  </si>
  <si>
    <t>Kosta, Antzela</t>
  </si>
  <si>
    <t>Advancement of Sensor Technology for Monitoring and Control of Upstream Bioprocesses</t>
  </si>
  <si>
    <t>Randek, Judit</t>
  </si>
  <si>
    <t>Intersexualität im Sport : Mediale und medizinische Körperpolitiken</t>
  </si>
  <si>
    <t>Krämer, Dennis</t>
  </si>
  <si>
    <t>Den Visuella Bilden Av Organisationen : Perspektiv På Visualitet I Accounting</t>
  </si>
  <si>
    <t>Havemo, Emelie</t>
  </si>
  <si>
    <t>Motion Planning and Feedback Control Techniques with Applications to Long Tractor-Trailer Vehicles</t>
  </si>
  <si>
    <t>Ljungqvist, Oskar</t>
  </si>
  <si>
    <t>Genomics and Transcriptomics of Behaviour and Plumage Colouration</t>
  </si>
  <si>
    <t>Fogelholm, Jesper</t>
  </si>
  <si>
    <t>Governing the Manifold Subject : A Praxiography of Swedish HIV Treatment</t>
  </si>
  <si>
    <t>Christensen, Jeffrey A.</t>
  </si>
  <si>
    <t>Theoretical Description of Ti and Ti Alloys from First Principles</t>
  </si>
  <si>
    <t>Skripnyak, Natalia</t>
  </si>
  <si>
    <t>Improved Energy Efficiency in the Aluminium Industry and Its Supply Chains</t>
  </si>
  <si>
    <t>Haraldsson, Joakim</t>
  </si>
  <si>
    <t>Earth 2020 : An Insider's Guide to a Rapidly Changing Planet</t>
  </si>
  <si>
    <t>Tortell, Philippe D.</t>
  </si>
  <si>
    <t>Margery Spring Rice : Pioneer of Women's Health in the Early Twentieth Century</t>
  </si>
  <si>
    <t>Pollard, Lucy</t>
  </si>
  <si>
    <t>System Studies of Biogas Production : Comparisons and Performance</t>
  </si>
  <si>
    <t>Lindkvist, Emma</t>
  </si>
  <si>
    <t>Controllability of Complex Networks at Minimum Cost</t>
  </si>
  <si>
    <t>Lindmark, Gustav</t>
  </si>
  <si>
    <t>Responses to Children's Crying : Emotion Socialization in a Swedish Preschool</t>
  </si>
  <si>
    <t>Holm Kvist, Malva</t>
  </si>
  <si>
    <t>Self-Management Support to Handle Everyday Life with Parkinson´s Disease</t>
  </si>
  <si>
    <t>Hellqvist, Carina</t>
  </si>
  <si>
    <t>Colorectal Liver Metastases - Different Aspects on Treatment with Associated Liver Partition and Portal Vein Ligation for Staged Hepatectomy and on Portal Vein Occlusion</t>
  </si>
  <si>
    <t>Hasselgren, Kristina</t>
  </si>
  <si>
    <t>Quantitative Muscle Composition Analysis Using Magnetic Resonance Imaging</t>
  </si>
  <si>
    <t>Karlsson, Anette</t>
  </si>
  <si>
    <t>Designing for Resilience : Navigating Change in Service Systems</t>
  </si>
  <si>
    <t>Rodrigues, Vanessa</t>
  </si>
  <si>
    <t>Contributions to Linear Discriminant Analysis with Applications to Growth Curves</t>
  </si>
  <si>
    <t>Ngailo, Edward Kanuti</t>
  </si>
  <si>
    <t>Världen, Sverige Och Barnen : Internationell Påverkan På Svensk Barnpolitik under Välfärdsstatens Framväxt I Mellankrigstidens Tidevarv</t>
  </si>
  <si>
    <t>Löw, Joel</t>
  </si>
  <si>
    <t>A First-Principles Study of Highly Anharmonic and Dynamically Disordered Solids</t>
  </si>
  <si>
    <t>Klarbring, Johan</t>
  </si>
  <si>
    <t>A Typology of Business Model Changes : Cases from Swedish Wood Manufacturing Industry</t>
  </si>
  <si>
    <t>Semnani Kenlind, Sarah</t>
  </si>
  <si>
    <t>Health, Experienced Support and School Performance among Children in Out-Of-home Care</t>
  </si>
  <si>
    <t>Tordön, Rikard</t>
  </si>
  <si>
    <t>Adaptive Behaviour in Traffic : An Individual Road User Perspective</t>
  </si>
  <si>
    <t>Nygårdhs, Sara</t>
  </si>
  <si>
    <t>High Confidence Network Predictions from Big Biological Data</t>
  </si>
  <si>
    <t>Magnusson, Rasmus</t>
  </si>
  <si>
    <t>Disordering the Establishment : Participatory Art and Institutional Critique in France, 1958-1981</t>
  </si>
  <si>
    <t>Woodruff, Lily</t>
  </si>
  <si>
    <t>Designing Visualization and Interaction for Industrial Control Rooms of the Future</t>
  </si>
  <si>
    <t>Domova, Veronika</t>
  </si>
  <si>
    <t>Electrochemical Water Splitting Based on Metal Oxide Composite Nanostructures</t>
  </si>
  <si>
    <t>Tahira, Aneela</t>
  </si>
  <si>
    <t>Molecular Mechanisms of Modulation of K V 7 Channels by Polyunsaturated Fatty Acids and Their Analogues</t>
  </si>
  <si>
    <t>Larsson, Johan</t>
  </si>
  <si>
    <t>Creative Multilingualism : A Manifesto</t>
  </si>
  <si>
    <t>Kohl, Katrin</t>
  </si>
  <si>
    <t>Living Earth Community : Multiple Ways of Being and Knowing</t>
  </si>
  <si>
    <t>Mickey, Sam</t>
  </si>
  <si>
    <t>Studies in Rabbinic Hebrew</t>
  </si>
  <si>
    <t>Heijmans, Shai</t>
  </si>
  <si>
    <t>Antisemitism in the North : History and State of Research</t>
  </si>
  <si>
    <t>Carbon-Based Smart Materials</t>
  </si>
  <si>
    <t>Charitidis, Constantinos A.</t>
  </si>
  <si>
    <t>Literatura Latinoamericana Mundial : Dispositivos y Disidencias</t>
  </si>
  <si>
    <t>Guerrero, Gustavo</t>
  </si>
  <si>
    <t>Richard Schaukal in Netzwerken und Feldern der Literarischen Moderne</t>
  </si>
  <si>
    <t>Mitterer, Cornelius</t>
  </si>
  <si>
    <t>Mineral Building Traditions in the Himalayas : The Mineralogical Impact on the Use of Clay As Building Material</t>
  </si>
  <si>
    <t>Feiglstorfer, Hubert</t>
  </si>
  <si>
    <t>ReiseSchreiben : Potsdamer Vorlesungen Zur Reiseliteratur</t>
  </si>
  <si>
    <t>Ette, Ottmar</t>
  </si>
  <si>
    <t>Visualizing the Invisible with the Human Body : Physiognomy and Ekphrasis in the Ancient World</t>
  </si>
  <si>
    <t>Johnson, J. Cale</t>
  </si>
  <si>
    <t>Religious Individualisation : Historical Dimensions and Comparative Perspectives</t>
  </si>
  <si>
    <t>Fuchs, Martin</t>
  </si>
  <si>
    <t>Prosodie und Konstruktionsgrammatik</t>
  </si>
  <si>
    <t>Comprehending and Confronting Antisemitism : A Multi-Faceted Approach</t>
  </si>
  <si>
    <t>Lange, Armin</t>
  </si>
  <si>
    <t>Die Feinen Unterschiede : Kultur, Kunst und Konsum Im Antiken Rom</t>
  </si>
  <si>
    <t>Stein-Hölkeskamp, Elke</t>
  </si>
  <si>
    <t>German and Dutch in Contrast : Synchronic, Diachronic and Psycholinguistic Perspectives</t>
  </si>
  <si>
    <t>Vogelaer, Gunther</t>
  </si>
  <si>
    <t>Early Printed Narrative Literature in Western Europe</t>
  </si>
  <si>
    <t>Besamusca, Bart</t>
  </si>
  <si>
    <t>The Second World War in the Twenty-First-Century Museum : From Narrative, Memory, and Experience to Experientiality</t>
  </si>
  <si>
    <t>Jaeger, Stephan</t>
  </si>
  <si>
    <t>Aging Between Participation and Simulation : Ethical Dimensions of Socially Assistive Technologies in Elderly Care</t>
  </si>
  <si>
    <t>Haltaufderheide, Joschka</t>
  </si>
  <si>
    <t>Homo Absconditus : Helmuth Plessners Philosophische Anthropologie Im Vergleich</t>
  </si>
  <si>
    <t>Krüger, Hans-Peter</t>
  </si>
  <si>
    <t>Schreiben Auf Statuarischen Monumenten : Aspekte Materialer Textkultur in Archaischer und Frühklassischer Zeit</t>
  </si>
  <si>
    <t>Dietrich, Nikolaus</t>
  </si>
  <si>
    <t>From Memory to Marble : The Historical Frieze of the Voortrekker Monument Part I: the Frieze</t>
  </si>
  <si>
    <t>Rankin, Elizabeth</t>
  </si>
  <si>
    <t>Cosmopolitan Responsibility : Global Injustice, Relational Equality, and Individual Agency</t>
  </si>
  <si>
    <t>Heilinger, Jan-Christoph</t>
  </si>
  <si>
    <t>Dialekte Machen : Konstruktion und Gebrauch Arealer Varianten Im Kontext Sprachraumbezogener Alltagsdiskurse</t>
  </si>
  <si>
    <t>Schiesser, Alexandra</t>
  </si>
  <si>
    <t>Verwaltungsrecht in der Klausur</t>
  </si>
  <si>
    <t>Eisentraut, Nikolas</t>
  </si>
  <si>
    <t>Confucius and Cicero : Old Ideas for a New World, New Ideas for an Old World</t>
  </si>
  <si>
    <t>Balbo, Andrea</t>
  </si>
  <si>
    <t>Material Aspects of Reading in Ancient and Medieval Cultures : Materiality, Presence and Performance</t>
  </si>
  <si>
    <t>Krauß, Anna</t>
  </si>
  <si>
    <t>The Emergence of Multiple-Text Manuscripts</t>
  </si>
  <si>
    <t>Formulaic Language and New Data : Theoretical and Methodological Implications</t>
  </si>
  <si>
    <t>Piirainen, Elisabeth</t>
  </si>
  <si>
    <t>Zur Geschichte Deutscher Wissenschaftssprachen : Aufsätze, Essays, Vorträge und Die Abhandlung ,,Erkenntnis und Sprache in Goethes Naturwissenschaft</t>
  </si>
  <si>
    <t>Pörksen, Uwe</t>
  </si>
  <si>
    <t>The Crisis of the 14th Century : Teleconnections Between Environmental and Societal Change?</t>
  </si>
  <si>
    <t>Bauch, Martin</t>
  </si>
  <si>
    <t>Barren Women : Religion and Medicine in the Medieval Middle East</t>
  </si>
  <si>
    <t>Verskin, Sara</t>
  </si>
  <si>
    <t>Le Lettere Di Dante : Ambienti Culturali, Contesti Storici e Circolazione Dei Saperi</t>
  </si>
  <si>
    <t>Montefusco, Antonio</t>
  </si>
  <si>
    <t>Migration und Avantgarde : Paris 1917-1962</t>
  </si>
  <si>
    <t>Bung, Stephanie</t>
  </si>
  <si>
    <t>The Roll in England and France in the Late Middle Ages : Form and Content</t>
  </si>
  <si>
    <t>Holz, Stefan G.</t>
  </si>
  <si>
    <t>Logiken der Sammlung : Das Archiv Zwischen Strategie und Eigendynamik</t>
  </si>
  <si>
    <t>Nya Perspektiv På Litteraturhistoria : Utbildningsprogram Om Antiken, Romantiken Och Strindberg 1960-2012</t>
  </si>
  <si>
    <t>Skillermark, Stina-Karin</t>
  </si>
  <si>
    <t>Studies in Semitic Vocalisation and Reading Traditions</t>
  </si>
  <si>
    <t>Magnetooptical Properties of Dilute Nitride Nanowires</t>
  </si>
  <si>
    <t>Jansson, Mattias</t>
  </si>
  <si>
    <t>A European Public Investment Outlook</t>
  </si>
  <si>
    <t>Cerniglia, Floriana</t>
  </si>
  <si>
    <t>A Lexicon of Medieval Nordic Law</t>
  </si>
  <si>
    <t>Love, Jeffrey</t>
  </si>
  <si>
    <t>Motsättningarnas Museum : Samproduktionen Av Museiideal I Den Offentliga Debatten Om Moderna Museet 1972-2013</t>
  </si>
  <si>
    <t>Hodén, Tintin</t>
  </si>
  <si>
    <t>Global Health Economics: Shaping Health Policy In Low- And Middle-income Countries</t>
  </si>
  <si>
    <t>World Scientific Publishing Company</t>
  </si>
  <si>
    <t>Revill, Paul</t>
  </si>
  <si>
    <t>Discourses We Live By : Narratives of Educational and Social Endeavour</t>
  </si>
  <si>
    <t>Wright, Hazel R.</t>
  </si>
  <si>
    <t>Proteasome Inhibitors Against Cancer: Determining Biology and Finding Novel Compounds</t>
  </si>
  <si>
    <t>Mofers, Arjan</t>
  </si>
  <si>
    <t>Erinnerungsorte in Belgien : Instrumente lokaler, regionaler und nationaler Sinnstiftung</t>
  </si>
  <si>
    <t>Kamp, Hermann</t>
  </si>
  <si>
    <t>Erinnerung und Identität : Literarische Konstruktionen in Doeschka Meijsings Prosa</t>
  </si>
  <si>
    <t>Lammer, Christina</t>
  </si>
  <si>
    <t>Jewish-Muslim Intellectual History Entangled : Textual Materials from the Firkovitch Collection, Saint Petersburg</t>
  </si>
  <si>
    <t>Camilla, Adang</t>
  </si>
  <si>
    <t>Simplified Signs : A Manual Sign-Communication System for Special Populations, Volume 1</t>
  </si>
  <si>
    <t>Bonvillian, John D.</t>
  </si>
  <si>
    <t>Simplified Signs : A Manual Sign-Communication System for Special Populations, Volume 2</t>
  </si>
  <si>
    <t>Sailing from Polis to Empire : Ships in the Eastern Mediterranean During the Hellenistic Period</t>
  </si>
  <si>
    <t>Nantet, Emmanuel</t>
  </si>
  <si>
    <t>Ecosystem-Based Management, Ecosystem Services and Aquatic Biodiversity : Theory, Tools and Applications</t>
  </si>
  <si>
    <t>Inclusion, Education and Translanguaging : How to Promote Social Justice in (Teacher) Education?</t>
  </si>
  <si>
    <t>Springer Vieweg. in Springer Fachmedien Wiesbaden GmbH</t>
  </si>
  <si>
    <t>Panagiotopoulou, Julie A.</t>
  </si>
  <si>
    <t>Bewertung Von Eigentumswohnungen : Entscheidungsorientierte Bewertung Aus Sicht Privater Investoren</t>
  </si>
  <si>
    <t>Springer Fachmedien Wiesbaden GmbH</t>
  </si>
  <si>
    <t>Walochnik, Stephan</t>
  </si>
  <si>
    <t>Paths : Why Is Life ﬁlled with So Many Detours?</t>
  </si>
  <si>
    <t>Gulyás, András</t>
  </si>
  <si>
    <t>Human Challenge Studies in Endemic Settings : Ethical and Regulatory Issues</t>
  </si>
  <si>
    <t>Jamrozik, Euzebiusz</t>
  </si>
  <si>
    <t>Global Citizenship Education : Critical and International Perspectives</t>
  </si>
  <si>
    <t>Akkari, Abdeljalil</t>
  </si>
  <si>
    <t>The Limits of Art : On Borderline Cases of Artworks and Their Aesthetic Properties</t>
  </si>
  <si>
    <t>Benovsky, Jiri</t>
  </si>
  <si>
    <t>Water Resource Systems Planning and Management : An Introduction to Methods, Models, and Applications</t>
  </si>
  <si>
    <t>Loucks, Daniel P.</t>
  </si>
  <si>
    <t>Finite Difference Computing with Exponential Decay Models</t>
  </si>
  <si>
    <t>Langtangen, Hans Petter</t>
  </si>
  <si>
    <t>The Plant Stem : A Microscopic Aspect</t>
  </si>
  <si>
    <t>Schweingruber, Fritz H.</t>
  </si>
  <si>
    <t>Orthogeriatrics : The Management of Older Patients with Fragility Fractures</t>
  </si>
  <si>
    <t>Falaschi, Paolo</t>
  </si>
  <si>
    <t>Forschendes Lernen : Theorie, Empirie, Praxis</t>
  </si>
  <si>
    <t>Wulf, Carmen</t>
  </si>
  <si>
    <t>Global Business Strategy : Multinational Corporations Venturing into Emerging Markets</t>
  </si>
  <si>
    <t>Springer Japan</t>
  </si>
  <si>
    <t>Motohashi, Kazuyuki</t>
  </si>
  <si>
    <t>Medical Imaging Systems : An Introductory Guide</t>
  </si>
  <si>
    <t>Maier, Andreas</t>
  </si>
  <si>
    <t>The Coupling of Safety and Security : Exploring Interrelations in Theory and Practice</t>
  </si>
  <si>
    <t>Enabling Industrial Energy Benchmarking : Process-Level Energy End-use, Key Performance Indicators, and Efficiency Potential</t>
  </si>
  <si>
    <t>Andersson, Elias</t>
  </si>
  <si>
    <t>Closing Nutrient Cycles</t>
  </si>
  <si>
    <t>Akram, Usman</t>
  </si>
  <si>
    <t>Scalable Bayesian Spatial Analysis with Gaussian Markov Random Fields</t>
  </si>
  <si>
    <t>Sidén, Per</t>
  </si>
  <si>
    <t>Internet Use and Digital Participation in Everyday Life : Adolescents and Young Adults with Intellectual Disabilities</t>
  </si>
  <si>
    <t>Alfredsson Ågren, Kristin</t>
  </si>
  <si>
    <t>Organic Electronic Devices for Solar Energy Conversion and Storage</t>
  </si>
  <si>
    <t>Jin, Yingzhi</t>
  </si>
  <si>
    <t>Mathematical Modeling of Neurovascular Coupling</t>
  </si>
  <si>
    <t>Sten, Sebastian</t>
  </si>
  <si>
    <t>Combatting Illicit Trade on the EU Border : A Comparative Perspective</t>
  </si>
  <si>
    <t>Nowak, Celina</t>
  </si>
  <si>
    <t>Measuring the Business Value of Cloud Computing</t>
  </si>
  <si>
    <t>Lynn, Theo</t>
  </si>
  <si>
    <t>Technical Universities : Past, Present and Future</t>
  </si>
  <si>
    <t>Service Design Capabilities</t>
  </si>
  <si>
    <t>Morelli, Nicola</t>
  </si>
  <si>
    <t>Sustainable Land Management in a European Context : A Co-Design Approach</t>
  </si>
  <si>
    <t>Weith, Thomas</t>
  </si>
  <si>
    <t>Hochwasserminderung Im ländlichen Raum : Ein Handbuch Zur Quantitativen Planung</t>
  </si>
  <si>
    <t>Springer Berlin / Heidelberg</t>
  </si>
  <si>
    <t>Seibert, Simon P.</t>
  </si>
  <si>
    <t>Immune-To-Brain Signaling in Fever : The Brain Endothelium As Interface</t>
  </si>
  <si>
    <t>Mirrasekhian, Elahe</t>
  </si>
  <si>
    <t>Contributions to Semantic Dependency Parsing : Search, Learning, and Application</t>
  </si>
  <si>
    <t>Kurtz, Robin</t>
  </si>
  <si>
    <t>Switching Kinetics and Charge Transport in Organic Ferroelectrics</t>
  </si>
  <si>
    <t>Cornelissen, Tim</t>
  </si>
  <si>
    <t>Species' Responses to an Ever-Changing World</t>
  </si>
  <si>
    <t>Årevall, Jonatan</t>
  </si>
  <si>
    <t>Die Emotionale Erfahrung des Asyls : Lebenswelten Afghanischer Geflüchteter in Berlin</t>
  </si>
  <si>
    <t>Behnam Shad, Klaus</t>
  </si>
  <si>
    <t>Particle Physics Reference Library : Volume 1: Theory and Experiments</t>
  </si>
  <si>
    <t>Schopper, Herwig</t>
  </si>
  <si>
    <t>Evidenzbasierter Fledermausschutz in Windkraftvorhaben</t>
  </si>
  <si>
    <t>Voigt, Christian C.</t>
  </si>
  <si>
    <t>Evaluating Information Retrieval and Access Tasks : NTCIR's Legacy of Research Impact</t>
  </si>
  <si>
    <t>Sakai, Tetsuya</t>
  </si>
  <si>
    <t>Die Business Judgement Rule : Auslegung der Legalit�tspflicht Bei Unklarer Rechtslage</t>
  </si>
  <si>
    <t>Willen, Max</t>
  </si>
  <si>
    <t>Particle Physics Reference Library : Volume 2: Detectors for Particles and Radiation</t>
  </si>
  <si>
    <t>Fabjan, Christian W.</t>
  </si>
  <si>
    <t>Pflege-Report 2020 : Neuausrichtung Von Versorgung und Finanzierung</t>
  </si>
  <si>
    <t>Jacobs, Klaus</t>
  </si>
  <si>
    <t>Cyber-Physical Systems: a Model-Based Approach</t>
  </si>
  <si>
    <t>Taha, Walid M.</t>
  </si>
  <si>
    <t>Agiles Lernen Im Unternehmen</t>
  </si>
  <si>
    <t>Longmuß, Jörg</t>
  </si>
  <si>
    <t>Forest and Rangeland Soils of the United States under Changing Conditions : A Comprehensive Science Synthesis</t>
  </si>
  <si>
    <t>Pouyat, Richard V.</t>
  </si>
  <si>
    <t>Media Primitivism : Technological Art in Africa</t>
  </si>
  <si>
    <t>Collier, Delinda</t>
  </si>
  <si>
    <t>Thinking Like a Climate : Governing a City in Times of Environmental Change</t>
  </si>
  <si>
    <t>Knox, Hannah</t>
  </si>
  <si>
    <t>Reliability and Validity of International Large-Scale Assessment : Understanding IEA's Comparative Studies of Student Achievement</t>
  </si>
  <si>
    <t>Wagemaker, Hans</t>
  </si>
  <si>
    <t>Words, Objects and Events in Economics : The Making of Economic Theory</t>
  </si>
  <si>
    <t>Róna, Peter</t>
  </si>
  <si>
    <t>Haptics: Science, Technology, Applications : 12th International Conference, EuroHaptics 2020, Leiden, the Netherlands, September 6-9, 2020, Proceedings</t>
  </si>
  <si>
    <t>Driving in Virtual Reality : Requirements for Automotive Research and Development</t>
  </si>
  <si>
    <t>Blissing, Bjö</t>
  </si>
  <si>
    <t>Health Technology Assessment of Assistance Dogs and Dog-Assisted Interventions</t>
  </si>
  <si>
    <t>Lundqvist, Martina</t>
  </si>
  <si>
    <t>Reasons for Language : Language and Analogical Reasoning Ability in Children with Cochlear Implants and Children with Typical Hearing</t>
  </si>
  <si>
    <t>Socher, Michaela</t>
  </si>
  <si>
    <t>Renewable and Scalable Energy Storage Materials Derived from Quinones in Biomass</t>
  </si>
  <si>
    <t>Liu, Lianlian</t>
  </si>
  <si>
    <t>The Economics of Water : Rules and Institutions</t>
  </si>
  <si>
    <t>Meran, Georg</t>
  </si>
  <si>
    <t>Optical Studies of Bio-Inspired Materials for Camouflage</t>
  </si>
  <si>
    <t>Åkerlind, Christina</t>
  </si>
  <si>
    <t>Neurogenic Bladder and Bowel Dysfunction : Clinical Aspects in Children with Spinal Dysraphism</t>
  </si>
  <si>
    <t>Wide, Peter</t>
  </si>
  <si>
    <t>Cell-Free Massive MIMO : Scalability, Signal Processing and Power Control</t>
  </si>
  <si>
    <t>Interdonato, Giovanni</t>
  </si>
  <si>
    <t>Exploring Proactive Market Strategies : How Proactivity Shapes Value-Creation</t>
  </si>
  <si>
    <t>Brege, Harald</t>
  </si>
  <si>
    <t>Craftspeople and Designer Makers in the Contemporary Creative Economy</t>
  </si>
  <si>
    <t>Luckman, Susan</t>
  </si>
  <si>
    <t>Co-Creating Digital Public Services for an Ageing Society : Evidence for User-Centric Design</t>
  </si>
  <si>
    <t>Waltzing Through Europe : Attitudes Towards Couple Dances in the Long Nineteenth Century</t>
  </si>
  <si>
    <t>Bakka, Egil</t>
  </si>
  <si>
    <t>Chronicles from Kashmir : An Annotated, Multimedia Script</t>
  </si>
  <si>
    <t>The Play in the System : The Art of Parasitical Resistance</t>
  </si>
  <si>
    <t>Fisher, Anna Watkins</t>
  </si>
  <si>
    <t>Carbon Pricing in Japan</t>
  </si>
  <si>
    <t>Arimura, Toshi H.</t>
  </si>
  <si>
    <t>The Narrative Subject : Storytelling in the Age of the Internet</t>
  </si>
  <si>
    <t>Schachtner, Christina</t>
  </si>
  <si>
    <t>The Demography of Disasters : Impacts for Population and Place</t>
  </si>
  <si>
    <t>Karácsonyi, Dávid</t>
  </si>
  <si>
    <t>Educational Aspirations and Attainments : How Resources Relate to Outcomes for Children of Immigrants in Disadvantaged Swedish Schools</t>
  </si>
  <si>
    <t>Nygård, Olav</t>
  </si>
  <si>
    <t>Tailoring Conducting Polymer Interface for Sensing and Biosensing</t>
  </si>
  <si>
    <t>Meng, Lingyin</t>
  </si>
  <si>
    <t>High-Quality Perovskite Films for Efficient and Stable Light-Emitting Diodes</t>
  </si>
  <si>
    <t>Wang, Heyong</t>
  </si>
  <si>
    <t>The Ethics of Bilateral Labor Agreements for Nurses : Perspectives from the Philippines</t>
  </si>
  <si>
    <t>Fernandez, Klein</t>
  </si>
  <si>
    <t>Life Cycle Management</t>
  </si>
  <si>
    <t>Springer Netherlands</t>
  </si>
  <si>
    <t>Sonnemann, Guido</t>
  </si>
  <si>
    <t>From Melancholia to Depression : Disordered Mood in Nineteenth-Century Psychiatry</t>
  </si>
  <si>
    <t>Jansson, Åsa</t>
  </si>
  <si>
    <t>Pluralistic Struggles in Gender, Sexuality and Coloniality : Challenging Swedish Exceptionalism</t>
  </si>
  <si>
    <t>Alm, Erika</t>
  </si>
  <si>
    <t>Agile Processes in Software Engineering and Extreme Programming - Workshops : XP 2020 Workshops, Copenhagen, Denmark, June 8-12, 2020, Revised Selected Papers</t>
  </si>
  <si>
    <t>An Insight into the Metabolism of New Psychoactive Substances : Structural elucidation of Urinary Metabolites of Synthetic Cannabinoids and Fentanyl Analogues Using Synthesized Reference Standards</t>
  </si>
  <si>
    <t>Wallgren, Jakob</t>
  </si>
  <si>
    <t>Virulent Zones : Animal Disease and Global Health at China's Pandemic Epicenter</t>
  </si>
  <si>
    <t>Fearnley, Lyle</t>
  </si>
  <si>
    <t>Developments in Demographic Forecasting</t>
  </si>
  <si>
    <t>Mazzuco, Stefano</t>
  </si>
  <si>
    <t>A Philosophical Examination of Social Justice and Child Poverty</t>
  </si>
  <si>
    <t>Palgrave Macmillan UK</t>
  </si>
  <si>
    <t>Schweiger, G.</t>
  </si>
  <si>
    <t>When Can Oil Economies Be Deemed Sustainable?</t>
  </si>
  <si>
    <t>Luciani, Giacomo</t>
  </si>
  <si>
    <t>Methods for Capacity Allocation in Deregulated Railway Markets</t>
  </si>
  <si>
    <t>Ait Ali, Abderrahman</t>
  </si>
  <si>
    <t>Middle Ear Cholesteatoma : Surgical Outcome and Aspects of the Innate Immunity</t>
  </si>
  <si>
    <t>Westerberg, Johanna</t>
  </si>
  <si>
    <t>Diagnosing Pneumonia in Primary Care : Aspects of the Value of Clinical and Laboratory Findings and the Use of Chest X-Ray</t>
  </si>
  <si>
    <t>Moberg, Anna</t>
  </si>
  <si>
    <t>Thin Metal Films on Weakly-Interacting Substrates : Nanoscale Growth Dynamics, Stress Generation, and Morphology Manipulation</t>
  </si>
  <si>
    <t>Jamnig, Andreas</t>
  </si>
  <si>
    <t>Self-Control, Financial Well-Being, and Motivated Reasoning : Essays in Behavioral Finance</t>
  </si>
  <si>
    <t>Strömbäck, Camilla</t>
  </si>
  <si>
    <t>Development and Evaluation of an Internet-Based Treatment for Generalized Anxiety Disorder : An Acceptance-Based Approach</t>
  </si>
  <si>
    <t>Dahlin, Mats</t>
  </si>
  <si>
    <t>Läromedel I Praktiken : Läromedelsbruk I Religionskunskap På Gymnasiet</t>
  </si>
  <si>
    <t>Widholm, Tomas</t>
  </si>
  <si>
    <t>Quantitative Genetics of Gene Expression and Methylation in the Chicken</t>
  </si>
  <si>
    <t>Höglund, Andrey</t>
  </si>
  <si>
    <t>Incontinence, Physical Activity, and Pelvic Floor Muscle Training in Female Pelvic Cancer Survivors after Radiotherapy</t>
  </si>
  <si>
    <t>Lindgren, Anna</t>
  </si>
  <si>
    <t>Technology, Design and the Arts - Opportunities and Challenges</t>
  </si>
  <si>
    <t>Earnshaw, Rae</t>
  </si>
  <si>
    <t>Rewilding European Landscapes</t>
  </si>
  <si>
    <t>Pereira, Henrique M.</t>
  </si>
  <si>
    <t>New Horizons for a Data-Driven Economy : A Roadmap for Usage and Exploitation of Big Data in Europe</t>
  </si>
  <si>
    <t>Cavanillas, José María</t>
  </si>
  <si>
    <t>The GEO Handbook on Biodiversity Observation Networks</t>
  </si>
  <si>
    <t>Walters, Michele</t>
  </si>
  <si>
    <t>The Sustainability of Agro-Food and Natural Resource Systems in the Mediterranean Basin</t>
  </si>
  <si>
    <t>Vastola, Antonella</t>
  </si>
  <si>
    <t>The Plight of Older Workers : Labor Market Experience after Plant Closure in the Swiss Manufacturing Sector</t>
  </si>
  <si>
    <t>Baumann, Isabel</t>
  </si>
  <si>
    <t>Optics in Our Time</t>
  </si>
  <si>
    <t>Al-Amri, Mohammad D.</t>
  </si>
  <si>
    <t>Communicating, Networking: Interacting : The International Year of Global Understanding - IYGU</t>
  </si>
  <si>
    <t>Robertson, Margaret E.</t>
  </si>
  <si>
    <t>Marine Anthropogenic Litter</t>
  </si>
  <si>
    <t>Bergmann, Melanie</t>
  </si>
  <si>
    <t>Remote Sensing of Plant Biodiversity</t>
  </si>
  <si>
    <t>Cavender-Bares, Jeannine</t>
  </si>
  <si>
    <t>Becoming a World-Class University : The Case of King Abdulaziz University</t>
  </si>
  <si>
    <t>Tayeb, Osama</t>
  </si>
  <si>
    <t>South-North Migration of EU Citizens in Times of Crisis</t>
  </si>
  <si>
    <t>Lafleur, Jean-Michel</t>
  </si>
  <si>
    <t>Has Latin American Inequality Changed Direction? : Looking over the Long Run</t>
  </si>
  <si>
    <t>Bértola, Luis</t>
  </si>
  <si>
    <t>Innovations in Quantitative Risk Management : TU München, September 2013</t>
  </si>
  <si>
    <t>Glau, Kathrin</t>
  </si>
  <si>
    <t>Higher Education Reforms in Romania : Between the Bologna Process and National Challenges</t>
  </si>
  <si>
    <t>Curaj, Adrian</t>
  </si>
  <si>
    <t>Biotechnologies for Plant Mutation Breeding : Protocols</t>
  </si>
  <si>
    <t>Melting Hadrons, Boiling Quarks - from Hagedorn Temperature to Ultra-Relativistic Heavy-Ion Collisions at CERN : With a Tribute to Rolf Hagedorn</t>
  </si>
  <si>
    <t>Rafelski, Johann</t>
  </si>
  <si>
    <t>Evidence-Based Positron Emission Tomography : Summary of Recent Meta-Analyses on PET</t>
  </si>
  <si>
    <t>Treglia, Giorgio</t>
  </si>
  <si>
    <t>Teacher Quality, Instructional Quality and Student Outcomes : Relationships Across Countries, Cohorts and Time</t>
  </si>
  <si>
    <t>Nilsen, Trude</t>
  </si>
  <si>
    <t>Intertwingled : The Work and Influence of Ted Nelson</t>
  </si>
  <si>
    <t>Dechow, Douglas R.</t>
  </si>
  <si>
    <t>Contemporary Bioethics : Islamic Perspective</t>
  </si>
  <si>
    <t>Al-Bar, Mohammed Ali</t>
  </si>
  <si>
    <t>China: Surpassing the Middle Income Trap</t>
  </si>
  <si>
    <t>Zhou, Shaojie</t>
  </si>
  <si>
    <t>Psychometric Framework for Modeling Parental Involvement and Reading Literacy</t>
  </si>
  <si>
    <t>Punter, R. Annemiek</t>
  </si>
  <si>
    <t>Research Assessment in the Humanities : Towards Criteria and Procedures</t>
  </si>
  <si>
    <t>Ochsner, Michael</t>
  </si>
  <si>
    <t>River Basin Development and Human Rights in Eastern Africa -- a Policy Crossroads</t>
  </si>
  <si>
    <t>Carr, Claudia J.</t>
  </si>
  <si>
    <t>Safer Healthcare : Strategies for the Real World</t>
  </si>
  <si>
    <t>Vincent, Charles</t>
  </si>
  <si>
    <t>The Geopolitics of the Global Energy Transition</t>
  </si>
  <si>
    <t>Hafner, Manfred</t>
  </si>
  <si>
    <t>Opening Science : The Evolving Guide on How the Internet Is Changing Research, Collaboration and Scholarly Publishing</t>
  </si>
  <si>
    <t>Friesike, Sascha</t>
  </si>
  <si>
    <t>Computation and the Humanities : Towards an Oral History of Digital Humanities</t>
  </si>
  <si>
    <t>Nyhan, Julianne</t>
  </si>
  <si>
    <t>European Guide to Power System Testing : The ERIGrid Holistic Approach for Evaluating Complex Smart Grid Configurations</t>
  </si>
  <si>
    <t>Strasser, Thomas I.</t>
  </si>
  <si>
    <t>The Interconnected Arctic -- UArctic Congress 2016</t>
  </si>
  <si>
    <t>Latola, Kirsi</t>
  </si>
  <si>
    <t>Infrastructure and Economic Growth in Asia</t>
  </si>
  <si>
    <t>Cockburn, John</t>
  </si>
  <si>
    <t>Ecological Risk Assessment for Chlorpyrifos in Terrestrial and Aquatic Systems in the United States</t>
  </si>
  <si>
    <t>Giesy, John P.</t>
  </si>
  <si>
    <t>High Mountain Conservation in a Changing World</t>
  </si>
  <si>
    <t>Catalan, Jordi</t>
  </si>
  <si>
    <t>The South Texas Health Status Review : A Health Disparities Roadmap</t>
  </si>
  <si>
    <t>Ramirez, Amelie G.</t>
  </si>
  <si>
    <t>The Challenge of Chance : A Multidisciplinary Approach from Science and the Humanities</t>
  </si>
  <si>
    <t>Landsman, Klaas</t>
  </si>
  <si>
    <t>The Cellular Automaton Interpretation of Quantum Mechanics</t>
  </si>
  <si>
    <t>'t Hooft, Gerard</t>
  </si>
  <si>
    <t>Agile Processes in Software Engineering and Extreme Programming : 21st International Conference on Agile Software Development, XP 2020, Copenhagen, Denmark, June 8-12, 2020, Proceedings</t>
  </si>
  <si>
    <t>Stray, Viktoria</t>
  </si>
  <si>
    <t>New Methods for Measuring and Analyzing Segregation</t>
  </si>
  <si>
    <t>Fossett, Mark</t>
  </si>
  <si>
    <t>Integrated Groundwater Management : Concepts, Approaches and Challenges</t>
  </si>
  <si>
    <t>Jakeman, Anthony J.</t>
  </si>
  <si>
    <t>Fading Foundations : Probability and the Regress Problem</t>
  </si>
  <si>
    <t>Ethics Dumping : Case Studies from North-South Research Collaborations</t>
  </si>
  <si>
    <t>Physiology, Psychoacoustics and Cognition in Normal and Impaired Hearing</t>
  </si>
  <si>
    <t>van Dijk, Pim</t>
  </si>
  <si>
    <t>The Bavarian Commentary and Ovid : Clm 4610, the Earliest Documented Commentary on The 'Metamorphoses'</t>
  </si>
  <si>
    <t>Wahlsten Böckerman, Robin</t>
  </si>
  <si>
    <t>The Life and Letters of William Sharp and Fiona Macleod : Volume 3: 1900-1905</t>
  </si>
  <si>
    <t>Liminal Spaces : Migration and Women of the Guyanese Diaspora</t>
  </si>
  <si>
    <t>Ali, Grace Aneiza</t>
  </si>
  <si>
    <t>Research, Ethics and Risk in the Authoritarian Field</t>
  </si>
  <si>
    <t>Glasius, Marlies</t>
  </si>
  <si>
    <t>Care in Healthcare : Reflections on Theory and Practice</t>
  </si>
  <si>
    <t>Krause, Franziska</t>
  </si>
  <si>
    <t>Railway Ecology</t>
  </si>
  <si>
    <t>Borda-de-Água, Luís</t>
  </si>
  <si>
    <t>Investigating the Body in the Victorian Asylum : Doctors, Patients, and Practices</t>
  </si>
  <si>
    <t>Wallis, Jennifer</t>
  </si>
  <si>
    <t>Dignity in the 21st Century : Middle East and West</t>
  </si>
  <si>
    <t>Spanish Economic Growth, 1850-2015</t>
  </si>
  <si>
    <t>Prados de la Escosura, Leandro</t>
  </si>
  <si>
    <t>Beyond Safety Training : Embedding Safety in Professional Skills</t>
  </si>
  <si>
    <t>Promoting Active Citizenship : Markets and Choice in Scandinavian Welfare</t>
  </si>
  <si>
    <t>Sivesind, Karl Henrik</t>
  </si>
  <si>
    <t>The Innovation Revolution in Agriculture : A Roadmap to Value Creation</t>
  </si>
  <si>
    <t>Exploring the Biopsychosocial Model in Irritable Bowel Syndrome : With Emphasis on Stress, Comorbidities and Fatigue</t>
  </si>
  <si>
    <t>Norlin, Anna-Karin</t>
  </si>
  <si>
    <t>Aspects of Vitamin d Deficiency in Elderly People in Nursing Homes and in Patients with Type 2 Diabetes : With Emphasis on Mortality, Cardiovascular Morbidity and Mental Health</t>
  </si>
  <si>
    <t>Samefors, Maria</t>
  </si>
  <si>
    <t>Vegetable Grafting : Principles and Practices</t>
  </si>
  <si>
    <t>CAB International</t>
  </si>
  <si>
    <t>Colla, Giuseppe</t>
  </si>
  <si>
    <t>Review of Invertebrate Biological Control Agents Introduced into Europe</t>
  </si>
  <si>
    <t>Gerber, Esther</t>
  </si>
  <si>
    <t>Legumes in Cropping Systems</t>
  </si>
  <si>
    <t>Murphy-Bokern, Donal</t>
  </si>
  <si>
    <t>New Land, New Life : A Success Story of New Land Resettlement in Bangladesh</t>
  </si>
  <si>
    <t>Jenkins, Andrew</t>
  </si>
  <si>
    <t>Building Agricultural Extension Capacity in Post-Conflict Settings</t>
  </si>
  <si>
    <t>McNamara, Paul</t>
  </si>
  <si>
    <t>Global Health Research in an Unequal World : Ethics Case Studies from Africa</t>
  </si>
  <si>
    <t>Aellah, Gemma</t>
  </si>
  <si>
    <t>Immune Maturation and Modulation in Childhood Allergies : Aspects of Epigenetic, Mucosal and Systemic Immune Mediators in Allergy Development and Prevention</t>
  </si>
  <si>
    <t>Huoman, Johanna</t>
  </si>
  <si>
    <t>Photoemission and Characterization of Neutrophils and Nanoparticles : Energy Mapping and Elemental Composition with Sub-µm Resolution</t>
  </si>
  <si>
    <t>Skallberg, Andreas</t>
  </si>
  <si>
    <t>Construction Logistics in a City Development Setting</t>
  </si>
  <si>
    <t>Janné, Mats</t>
  </si>
  <si>
    <t>Clinical and Immunological Aspects on Recurrent Pregnancy Loss</t>
  </si>
  <si>
    <t>Bruno, Valentina</t>
  </si>
  <si>
    <t>Introducing Vigilant Audiences</t>
  </si>
  <si>
    <t>Trottier, Daniel</t>
  </si>
  <si>
    <t>The Cultural Life of James Bond : Specters Of 007</t>
  </si>
  <si>
    <t>Verheul, Jaap</t>
  </si>
  <si>
    <t>Autonomous Vehicle Maneuvering at the Limit of Friction</t>
  </si>
  <si>
    <t>Fors, Victor</t>
  </si>
  <si>
    <t>Återkoppling I Lågstadieklassrum</t>
  </si>
  <si>
    <t>Eriksson, Elisabeth</t>
  </si>
  <si>
    <t>Molecular and Serological Tools for Clinical Diagnostics of Lyme Borreliosis - Can the Laboratory Analysis Be Improved?</t>
  </si>
  <si>
    <t>Lager, Malin</t>
  </si>
  <si>
    <t>Computed Tomography of the Coronary Arteries : Developmental and Prognostic Investigations</t>
  </si>
  <si>
    <t>Sandstedt, Mårten</t>
  </si>
  <si>
    <t>Durchbrochene Ordnungen : Das Dokumentarische der Gegenwart</t>
  </si>
  <si>
    <t>Balke, Friedrich</t>
  </si>
  <si>
    <t>Gegen\Dokumentation : Operationen - Foren - Interventionen</t>
  </si>
  <si>
    <t>Canpalat, Esra</t>
  </si>
  <si>
    <t>Making up Numbers : A History of Invention in Mathematics</t>
  </si>
  <si>
    <t>Kopp, Ekkehard</t>
  </si>
  <si>
    <t>B C, Before Computers : On Information Technology from Writing to the Age of Digital Data</t>
  </si>
  <si>
    <t>Robertson, Stephen</t>
  </si>
  <si>
    <t>Affirmative Aesthetics and Wilful Women : Gender, Space and Mobility in Contemporary Cinema</t>
  </si>
  <si>
    <t>Ceuterick, Maud</t>
  </si>
  <si>
    <t>International Labour Organization and Global Social Governance</t>
  </si>
  <si>
    <t>Halonen, Tarja</t>
  </si>
  <si>
    <t>Script Effects As the Hidden Drive of the Mind, Cognition, and Culture</t>
  </si>
  <si>
    <t>Pae, Hye K.</t>
  </si>
  <si>
    <t>Illiberal Trends and Anti-EU Politics in East Central Europe</t>
  </si>
  <si>
    <t>Lorenz, Astrid</t>
  </si>
  <si>
    <t>Chemical Youth : Navigating Uncertainty in Search of the Good Life</t>
  </si>
  <si>
    <t>Hardon, Anita</t>
  </si>
  <si>
    <t>Future Space-Transport-System Components under High Thermal and Mechanical Loads : Results from the DFG Collaborative Research Center TRR40</t>
  </si>
  <si>
    <t>Adams, Nikolaus A.</t>
  </si>
  <si>
    <t>Demystifying Climate Models : A Users Guide to Earth System Models</t>
  </si>
  <si>
    <t>Gettelman, Andrew</t>
  </si>
  <si>
    <t>Re-Configurations : Contextualising Transformation Processes and Lasting Crises in the Middle East and North Africa</t>
  </si>
  <si>
    <t>Data Privacy and Trust in Cloud Computing : Building Trust in the Cloud Through Assurance and Accountability</t>
  </si>
  <si>
    <t>Semantic Systems. in the Era of Knowledge Graphs : 16th International Conference on Semantic Systems, SEMANTiCS 2020, Amsterdam, the Netherlands, September 7-10, 2020, Proceedings</t>
  </si>
  <si>
    <t>Blomqvist, Eva</t>
  </si>
  <si>
    <t>Beyond Media Borders, Volume 2 : Intermedial Relations among Multimodal Media</t>
  </si>
  <si>
    <t>Elleström, Lars</t>
  </si>
  <si>
    <t>Beyond Media Borders, Volume 1 : Intermedial Relations among Multimodal Media</t>
  </si>
  <si>
    <t>Ethics and Drug Resistance: Collective Responsibility for Global Public Health</t>
  </si>
  <si>
    <t>International Symposium on Mathematics, Quantum Theory, and Cryptography : Proceedings of MQC 2019</t>
  </si>
  <si>
    <t>Takagi, Tsuyoshi</t>
  </si>
  <si>
    <t>Quantization on Nilpotent Lie Groups</t>
  </si>
  <si>
    <t>Fischer, Veronique</t>
  </si>
  <si>
    <t>The Economics of Big Science : Essays by Leading Scientists and Policymakers</t>
  </si>
  <si>
    <t>Beck, Hans Peter</t>
  </si>
  <si>
    <t>Migration and Social Protection in Europe and Beyond (Volume 1) : Comparing Access to Welfare Entitlements</t>
  </si>
  <si>
    <t>Modeling Excitable Tissue : The EMI Framework</t>
  </si>
  <si>
    <t>Tveito, Aslak</t>
  </si>
  <si>
    <t>Modes of Bio-Bordering : The Hidden (Dis)integration of Europe</t>
  </si>
  <si>
    <t>Amelung, Nina</t>
  </si>
  <si>
    <t>Migration and Social Protection in Europe and Beyond (Volume 2) : Comparing Consular Services and Diaspora Policies</t>
  </si>
  <si>
    <t>Civilian Lunatic Asylums During the First World War : A Study of Austerity on London's Fringe</t>
  </si>
  <si>
    <t>Hilton, Claire</t>
  </si>
  <si>
    <t>Survival of the Tamest : The Domesticated Phenotype in Red Junglefowl Selected for Tameness</t>
  </si>
  <si>
    <t>Katajamaa, Rebecca</t>
  </si>
  <si>
    <t>Human Trafficking in Medieval Europe : Slavery, Sexual Exploitation, and Prostitution</t>
  </si>
  <si>
    <t>Paolella, Christopher</t>
  </si>
  <si>
    <t>Atlas: A 25-year Insider Story Of The Lhc Experiment</t>
  </si>
  <si>
    <t>Jenni, Peter</t>
  </si>
  <si>
    <t>Myanmar: Reintegrating Into The International Community</t>
  </si>
  <si>
    <t>Li, Chenyang</t>
  </si>
  <si>
    <t>Biocomputing 2017 - Proceedings Of The Pacific Symposium</t>
  </si>
  <si>
    <t>Altman, Russ B</t>
  </si>
  <si>
    <t>Biocomputing 2016 - Proceedings Of The Pacific Symposium</t>
  </si>
  <si>
    <t>Genome Informatics 2009: Genome Informatics Series Vol. 22 - Proceedings Of The 9th Annual International Workshop On Bioinformatics And Systems Biology (Ibsb 2009)</t>
  </si>
  <si>
    <t>Klipp, Edda</t>
  </si>
  <si>
    <t>Genome Informatics 2009: Genome Informatics Series Vol. 23 - Proceedings Of The 20th International Conference</t>
  </si>
  <si>
    <t>Sakakibara, Yasubumi</t>
  </si>
  <si>
    <t>Biocomputing 2020 - Proceedings Of The Pacific Symposium</t>
  </si>
  <si>
    <t>Fourteenth Marcel Grossmann Meeting, The: On Recent Developments In Theoretical And Experimental General Relativity, Astrophysics, And Relativistic Field Theories - Proceedings Of The Mg14 Meeting On General Relativity (In 4 Parts)</t>
  </si>
  <si>
    <t>Bianchi, Massimo</t>
  </si>
  <si>
    <t>Polarization Phenomena In Physics: Applications To Nuclear Reactions</t>
  </si>
  <si>
    <t>Tanifuji, Makoto</t>
  </si>
  <si>
    <t>Biocomputing 2018 - Proceedings Of The Pacific Symposium</t>
  </si>
  <si>
    <t>Nature, Place &amp; People: Forging Connections Through Neighbourhood Landscape Design</t>
  </si>
  <si>
    <t>Tan, Puay-yok</t>
  </si>
  <si>
    <t>Innovations In Insurance, Risk- And Asset Management - Proceedings Of The Innovations In Insurance, Risk- And Asset Management Conference</t>
  </si>
  <si>
    <t>Agriculture &amp; Food Systems To 2050: Global Trends, Challenges And Opportunities</t>
  </si>
  <si>
    <t>Serraj, Rachid</t>
  </si>
  <si>
    <t>Biocomputing 2019 - Proceedings Of The Pacific Symposium</t>
  </si>
  <si>
    <t>Biocomputing 2012 - Proceedings Of The Pacific Symposium</t>
  </si>
  <si>
    <t>Klein, Teri E</t>
  </si>
  <si>
    <t>Biocomputing 2013 - Proceedings Of The Pacific Symposium</t>
  </si>
  <si>
    <t>Biocomputing 2011 - Proceedings Of The Pacific Symposium</t>
  </si>
  <si>
    <t>Biocomputing 2010 - Proceedings Of The Pacific Symposium</t>
  </si>
  <si>
    <t>Biological Information: New Perspectives - Proceedings Of The Symposium</t>
  </si>
  <si>
    <t>Sanford, John C</t>
  </si>
  <si>
    <t>Pacific Symposium On Biocomputing 2014</t>
  </si>
  <si>
    <t>60 Years Of Cern Experiments And Discoveries</t>
  </si>
  <si>
    <t>Pacific Symposium On Biocomputing 2015</t>
  </si>
  <si>
    <t>High Luminosity Large Hadron Collider, The: The New Machine For Illuminating The Mysteries Of Universe</t>
  </si>
  <si>
    <t>Rossi, Lucio</t>
  </si>
  <si>
    <t>Sustainable Asia: Supporting The Transition To Sustainable Consumption And Production In Asian Developing Countries</t>
  </si>
  <si>
    <t>Schroeder, Patrick</t>
  </si>
  <si>
    <t>Standard Theory Of Particle Physics, The: Essays To Celebrate Cern's 60th Anniversary</t>
  </si>
  <si>
    <t>Maiani, Luciano</t>
  </si>
  <si>
    <t>Technology Meets Research - 60 Years Of Cern Technology: Selected Highlights</t>
  </si>
  <si>
    <t>Fabjan, Christian W</t>
  </si>
  <si>
    <t>Social Determinants of Health in Non-Communicable Diseases : Case Studies from Japan</t>
  </si>
  <si>
    <t>Kondo, Katsunori</t>
  </si>
  <si>
    <t>The State of Peacebuilding in Africa : Lessons Learned for Policymakers and Practitioners</t>
  </si>
  <si>
    <t>McNamee, Terence</t>
  </si>
  <si>
    <t>Data Parallel C++ : Mastering DPC++ for Programming of Heterogeneous Systems Using C++ and SYCL</t>
  </si>
  <si>
    <t>Apress L. P.</t>
  </si>
  <si>
    <t>Reinders, James</t>
  </si>
  <si>
    <t>Claiming Union Widowhood : Race, Respectability, and Poverty in the Post-Emancipation South</t>
  </si>
  <si>
    <t>Brimmer, Brandi Clay</t>
  </si>
  <si>
    <t>Minimally Invasive Glaucoma Surgery</t>
  </si>
  <si>
    <t>Sng, Chelvin C. A.</t>
  </si>
  <si>
    <t>Cohesion, Coherence and Temporal Reference from an Experimental Corpus Pragmatics Perspective</t>
  </si>
  <si>
    <t>Grisot, Cristina</t>
  </si>
  <si>
    <t>Cultural Convergence : The Dublin Gate Theatre, 1928-1960</t>
  </si>
  <si>
    <t>Pilný, Ondřej</t>
  </si>
  <si>
    <t>Implementing Deeper Learning and 21st Century Education Reforms : Building an Education Renaissance after a Global Pandemic</t>
  </si>
  <si>
    <t>Reimers, Fernando M.</t>
  </si>
  <si>
    <t>Patterns of Change in 18th-Century English : A Sociolinguistic Approach</t>
  </si>
  <si>
    <t>Nevalainen, Terttu</t>
  </si>
  <si>
    <t>Constructicography : Constructicon Development Across Languages</t>
  </si>
  <si>
    <t>Lyngfelt, Benjamin</t>
  </si>
  <si>
    <t>Atypical Language Development in Romance Languages</t>
  </si>
  <si>
    <t>Aguilar-Mediavilla, Eva</t>
  </si>
  <si>
    <t>Approaches to Hungarian : Volume 16: Papers from the 2017 Budapest Conference</t>
  </si>
  <si>
    <t>Hegedűs, Veronika</t>
  </si>
  <si>
    <t>Language Planning As Nation Building : Ideology, Policy and Implementation in the Netherlands, 1750-1850</t>
  </si>
  <si>
    <t>Rutten, Gijsbert</t>
  </si>
  <si>
    <t>A Comparative Grammar of the Early Germanic Languages</t>
  </si>
  <si>
    <t>Fulk, R. D.</t>
  </si>
  <si>
    <t>Skyping the Family : Interpersonal Video Communication and Domestic Life</t>
  </si>
  <si>
    <t>Harper, Richard</t>
  </si>
  <si>
    <t>Sozioanalyse in der Pädagogischen Arbeit : Ansätze und Möglichkeiten Zur Bearbeitung Von Bildungsungleichheit</t>
  </si>
  <si>
    <t>Rutter, Sabrina</t>
  </si>
  <si>
    <t>Applied Pedagogies for Higher Education : Real World Learning and Innovation Across the Curriculum</t>
  </si>
  <si>
    <t>Morley, Dawn A.</t>
  </si>
  <si>
    <t>Digitalisierung Souverän Gestalten : Innovative Impulse Im Maschinenbau</t>
  </si>
  <si>
    <t>Hartmann, Ernst A.</t>
  </si>
  <si>
    <t>Pain, Touch, and Decision Making : Behavioral and Brain Responses to Affective Somatosensory Stimulation</t>
  </si>
  <si>
    <t>Koppel, Lina</t>
  </si>
  <si>
    <t>Support for the Conceptual Design Stage of Effective and Resource-Efficient Offerings : A Pragmatic and Cross-Disciplinary Approach</t>
  </si>
  <si>
    <t>Brambila, Sergio</t>
  </si>
  <si>
    <t>Lattice Dynamics : From Fundamental Research to Practical Applications</t>
  </si>
  <si>
    <t>Tidholm, Johan</t>
  </si>
  <si>
    <t>The Pain Profile in Fibromyalgia : Painomic Studies of Pain Characteristics and Proteins in Blood</t>
  </si>
  <si>
    <t>Wåhlén, Karin</t>
  </si>
  <si>
    <t>Innate Immune Responses to Mycobacterium Tuberculosis Infection : How Extracellular Traps and Trained Immunity Can Restrict Bacterial Growth</t>
  </si>
  <si>
    <t>Braian, Clara</t>
  </si>
  <si>
    <t>Social Hierarchies Between Democracy and Autocracy</t>
  </si>
  <si>
    <t>Toelstede, Bjö</t>
  </si>
  <si>
    <t>Transnational Solidarity in Times of Crises : Citizen Organisations and Collective Learning in Europe</t>
  </si>
  <si>
    <t>Lahusen, Christian</t>
  </si>
  <si>
    <t>European Higher Education Area: Challenges for a New Decade</t>
  </si>
  <si>
    <t>Migration and Social Protection in Europe and Beyond (Volume 3) : A Focus on Non-EU Sending States</t>
  </si>
  <si>
    <t>Guardians of Public Value : How Public Organisations Become and Remain Institutions</t>
  </si>
  <si>
    <t>Boin, Arjen</t>
  </si>
  <si>
    <t>Studierendenmigration und Entwicklung : Eine Fallstudie Am Beispiel des KAAD</t>
  </si>
  <si>
    <t>Krannich, Sascha</t>
  </si>
  <si>
    <t>Digital Entrepreneurship : Impact on Business and Society</t>
  </si>
  <si>
    <t>Soltanifar, Mariusz</t>
  </si>
  <si>
    <t>Towards a Comparative Analysis of Social Inequalities Between Europe and Latin America</t>
  </si>
  <si>
    <t>López-Roldán, Pedro</t>
  </si>
  <si>
    <t>Wirtschaft Neu Lehren : Erfahrungen Aus der Pluralen, Sozioökonomischen Hochschulbildung</t>
  </si>
  <si>
    <t>Urban, Janina</t>
  </si>
  <si>
    <t>Applications of Summation-By-parts Operators</t>
  </si>
  <si>
    <t>Ålund, Oskar</t>
  </si>
  <si>
    <t>Immune Regulation at the Foetal-Maternal Interface</t>
  </si>
  <si>
    <t>Color Tuning for Perovskite Light-Emitting Diodes</t>
  </si>
  <si>
    <t>Yu, Hongling</t>
  </si>
  <si>
    <t>[Faust. Jern und Bäteln. Scherz, List und Rache]</t>
  </si>
  <si>
    <t>Goethe, Johann Wolfgang</t>
  </si>
  <si>
    <t>Social Movements and Solidarity Structures in Crisis-Ridden Greece</t>
  </si>
  <si>
    <t>Malamidis, Haris</t>
  </si>
  <si>
    <t>Water Conflicts and Cooperation: a Media Handbook</t>
  </si>
  <si>
    <t>Dewedar, Rasha</t>
  </si>
  <si>
    <t>Maria Stuart</t>
  </si>
  <si>
    <t>Plato's 'Republic' : An Introduction</t>
  </si>
  <si>
    <t>McAleer, Sean</t>
  </si>
  <si>
    <t>The Atheist's Bible : Diderot's 'Éléments de Physiologie'</t>
  </si>
  <si>
    <t>Unsettling Responsibility in Science Education : Indigenous Science, Deconstruction, and the Multicultural Science Education Debate</t>
  </si>
  <si>
    <t>XcalableMP PGAS Programming Language : From Programming Model to Applications</t>
  </si>
  <si>
    <t>Sato, Mitsuhisa</t>
  </si>
  <si>
    <t>The Social Dynamics of Labor Market Inclusion</t>
  </si>
  <si>
    <t>Strindlund, Lena</t>
  </si>
  <si>
    <t>Knowledge in VET Curricula and Power in Society and Labour Market : Policy and Practice: Demands-Based and Employer-driven Swedish Higher Vocational Education</t>
  </si>
  <si>
    <t>Köpsén, Johanna</t>
  </si>
  <si>
    <t>Neuro-Immuno-regulation of Inflammation in the Colonic Mucosa : Focus on Mast Cells and Eosinophils in Bowel Disorders</t>
  </si>
  <si>
    <t>Casado Bedmar, Maria Teresa</t>
  </si>
  <si>
    <t>Metal Film Growth on Weakly-Interacting Substrates : Multiscale Modeling</t>
  </si>
  <si>
    <t>Gervilla Palomar, Víctor</t>
  </si>
  <si>
    <t>Drug Use During Pregnancy with Focus on Antidepressants</t>
  </si>
  <si>
    <t>Wolgast, Emelie</t>
  </si>
  <si>
    <t>Pilot Society and the Energy Transition : The Co-Shaping of Innovation, Participation and Politics</t>
  </si>
  <si>
    <t>Ryghaug, Marianne</t>
  </si>
  <si>
    <t>Teaching Multiplication with Lesson Study : Japanese and Ibero-American Theories for International Mathematics Education</t>
  </si>
  <si>
    <t>Isoda, Masami</t>
  </si>
  <si>
    <t>Improving a Country's Education : PISA 2018 Results in 10 Countries</t>
  </si>
  <si>
    <t>Crato, Nuno</t>
  </si>
  <si>
    <t>Organic Waste Composting Through Nexus Thinking : Practices, Policies, and Trends</t>
  </si>
  <si>
    <t>Hettiarachchi, Hiroshan</t>
  </si>
  <si>
    <t>Produktivitätsmanagement 4. 0 : Praxiserprobte Vorgehensweisen Zur Nutzung der Digitalisierung in der Industrie</t>
  </si>
  <si>
    <t>Jeske, Tim</t>
  </si>
  <si>
    <t>Anti-Microbial Resistance in Global Perspective</t>
  </si>
  <si>
    <t>Ackers, Louise</t>
  </si>
  <si>
    <t>Multiscale Biomechanics and Tribology of Inorganic and Organic Systems : In Memory of Professor Sergey Psakhie</t>
  </si>
  <si>
    <t>Ostermeyer, Georg-Peter</t>
  </si>
  <si>
    <t>The Impact of the International Livestock Research Institute</t>
  </si>
  <si>
    <t>McIntire, John</t>
  </si>
  <si>
    <t>The Palgrave Handbook of Development Cooperation for Achieving the 2030 Agenda : Contested Collaboration</t>
  </si>
  <si>
    <t>Teacher Transition into Innovative Learning Environments : A Global Perspective</t>
  </si>
  <si>
    <t>Imms, Wesley</t>
  </si>
  <si>
    <t>Asylum Matters : On the Front Line of Administrative Decision-Making</t>
  </si>
  <si>
    <t>Affolter, Laura</t>
  </si>
  <si>
    <t>Klima : Politik and Green Deal | Technologie and Digitalisierung | Gesellschaft and Wirtschaft</t>
  </si>
  <si>
    <t>Wittpahl, Volker</t>
  </si>
  <si>
    <t>Tourismus und Klimawandel</t>
  </si>
  <si>
    <t>Pröbstl-Haider, Ulrike</t>
  </si>
  <si>
    <t>Environmental Valuation with Discrete Choice Experiments : Guidance on Design, Implementation and Data Analysis</t>
  </si>
  <si>
    <t>Mariel, Petr</t>
  </si>
  <si>
    <t>Taming the Big Green Elephant : Setting in Motion the Transformation Towards Sustainability</t>
  </si>
  <si>
    <t>Hernández, Ariel Macaspac</t>
  </si>
  <si>
    <t>European Cultural Diplomacy and Arab Christians in Palestine, 1918-1948 : Between Contention and Connection</t>
  </si>
  <si>
    <t>Sanchez Summerer, Karène</t>
  </si>
  <si>
    <t>Gender, Reading, and Truth in the Twelfth Century : The Woman in the Mirror</t>
  </si>
  <si>
    <t>Powell, Morgan</t>
  </si>
  <si>
    <t>The World of the Seafarer : Qualitative Accounts of Working in the Global Shipping Industry</t>
  </si>
  <si>
    <t>Gekara, Victor Oyaro</t>
  </si>
  <si>
    <t>Ernst Denert Award for Software Engineering 2019 : Practice Meets Foundations</t>
  </si>
  <si>
    <t>Felderer, Michael</t>
  </si>
  <si>
    <t>NL ARMS Netherlands Annual Review of Military Studies 2020 : Deterrence in the 21st Century--Insights from Theory and Practice</t>
  </si>
  <si>
    <t>T.M.C. Asser Press</t>
  </si>
  <si>
    <t>Osinga, Frans</t>
  </si>
  <si>
    <t>Education and Climate Change : The Role of Universities</t>
  </si>
  <si>
    <t>Mesoscale Analysis of Hydraulics</t>
  </si>
  <si>
    <t>Xu, Weilin</t>
  </si>
  <si>
    <t>Italienisches, Europäisches und Internationales Immaterialgüterrecht</t>
  </si>
  <si>
    <t>Laimer, Simon</t>
  </si>
  <si>
    <t>Inside Asylum Bureaucracy: Organizing Refugee Status Determination in Austria</t>
  </si>
  <si>
    <t>Dahlvik, Julia</t>
  </si>
  <si>
    <t>Plant Selection for Bioretention Systems and Stormwater Treatment Practices</t>
  </si>
  <si>
    <t>Hunt, William F.</t>
  </si>
  <si>
    <t>Social and Political Dimensions of Mathematics Education : Current Thinking</t>
  </si>
  <si>
    <t>Jurdak, Murad</t>
  </si>
  <si>
    <t>Seeing Ourselves Through Technology : How We Use Selfies, Blogs and Wearable Devices to See and Shape Ourselves</t>
  </si>
  <si>
    <t>Rettberg, Jill W.</t>
  </si>
  <si>
    <t>North Sea Region Climate Change Assessment</t>
  </si>
  <si>
    <t>Quante, Markus</t>
  </si>
  <si>
    <t>Natural Computing and Beyond : Winter School Hakodate 2011, Hakodate, Japan, March 2011 and 6th International Workshop on Natural Computing, Tokyo, Japan, March 2012, Proceedings</t>
  </si>
  <si>
    <t>Suzuki, Yasuhiro</t>
  </si>
  <si>
    <t>Complications and Quandaries in the ICT Sector : Standard Essential Patents and Competition Issues</t>
  </si>
  <si>
    <t>Bharadwaj, Ashish</t>
  </si>
  <si>
    <t>Theories in and of Mathematics Education : Theory Strands in German Speaking Countries</t>
  </si>
  <si>
    <t>Bikner-Ahsbahs, Angelika</t>
  </si>
  <si>
    <t>Diseases of the Chest, Breast, Heart and Vessels 2019-2022 : Diagnostic and Interventional Imaging</t>
  </si>
  <si>
    <t>Comparative Perspectives on Work-Life Balance and Gender Equality : Fathers on Leave Alone</t>
  </si>
  <si>
    <t>O'Brien, Margaret</t>
  </si>
  <si>
    <t>Capital Punishment and the Criminal Corpse in Scotland, 1740-1834</t>
  </si>
  <si>
    <t>Bennett, Rachel E.</t>
  </si>
  <si>
    <t>The Privacy Engineer's Manifesto : Getting from Policy to Code to QA to Value</t>
  </si>
  <si>
    <t>Dennedy, Michelle</t>
  </si>
  <si>
    <t>Android Application Development for the Intel Platform</t>
  </si>
  <si>
    <t>Cohen, Ryan</t>
  </si>
  <si>
    <t>Transitions in Mathematics Education</t>
  </si>
  <si>
    <t>Gueudet, Ghislaine</t>
  </si>
  <si>
    <t>Safety Cultures, Safety Models : Taking Stock and Moving Forward</t>
  </si>
  <si>
    <t>Junge Perspektiven der Türkeiforschung in Deutschland : Band 1</t>
  </si>
  <si>
    <t>Kreiser, Klaus</t>
  </si>
  <si>
    <t>Flexibel Studieren - Vereinbarkeit Ermöglichen : Studienstrukturen Für eine Diverse Studierendenschaft</t>
  </si>
  <si>
    <t>Buß, Imke</t>
  </si>
  <si>
    <t>Wissenschaft und Gesellschaft: ein Vertrauensvoller Dialog : Positionen und Perspektiven der Wissenschaftskommunikation Heute</t>
  </si>
  <si>
    <t>Schnurr, Johannes</t>
  </si>
  <si>
    <t>Second Assessment of Climate Change for the Baltic Sea Basin</t>
  </si>
  <si>
    <t>The BACC II Author Team, The Bacc</t>
  </si>
  <si>
    <t>Executing Magic in the Modern Era : Criminal Bodies and the Gallows in Popular Medicine</t>
  </si>
  <si>
    <t>Migration, Gender and Social Justice : Perspectives on Human Insecurity</t>
  </si>
  <si>
    <t>Truong, Thanh-Dam</t>
  </si>
  <si>
    <t>Radiological Issues for Fukushima's Revitalized Future</t>
  </si>
  <si>
    <t>Takahashi, Tomoyuki</t>
  </si>
  <si>
    <t>Advances in Production Technology</t>
  </si>
  <si>
    <t>Brecher, Christian</t>
  </si>
  <si>
    <t>Building the Infrastructure for Cloud Security : A Solutions View</t>
  </si>
  <si>
    <t>Yeluri, Raghuram</t>
  </si>
  <si>
    <t>Kundennutzen Durch Digitale Transformation : Business-Process-Management-Studie - Status Quo und Erfolgsmuster</t>
  </si>
  <si>
    <t>Brucker-Kley, Elke</t>
  </si>
  <si>
    <t>Twitter Als Basis Wissenschaftlicher Studien : Eine Bewertung Gängiger Erhebungs- und Analysemethoden der Twitter-Forschung</t>
  </si>
  <si>
    <t>Pfaffenberger, Fabian</t>
  </si>
  <si>
    <t>Prozessintelligenz : Business-Process-Management-Studie - Status Quo und Erfolgsmuster</t>
  </si>
  <si>
    <t>The EU and China in African Authoritarian Regimes : Domestic Politics and Governance Reforms</t>
  </si>
  <si>
    <t>Hackenesch, Christine</t>
  </si>
  <si>
    <t>Socioeconomic and Environmental Implications of Agricultural Residue Burning : A Case Study of Punjab, India</t>
  </si>
  <si>
    <t>Springer (India) Private Limited</t>
  </si>
  <si>
    <t>Kumar, Parmod</t>
  </si>
  <si>
    <t>Self-Reported Population Health: an International Perspective Based on EQ-5D</t>
  </si>
  <si>
    <t>Szende, Agota</t>
  </si>
  <si>
    <t>Subseafloor Biosphere Linked to Hydrothermal Systems : TAIGA Concept</t>
  </si>
  <si>
    <t>Ishibashi, Jun-ichiro</t>
  </si>
  <si>
    <t>Compositionality and Concepts in Linguistics and Psychology</t>
  </si>
  <si>
    <t>Hampton, James A.</t>
  </si>
  <si>
    <t>Exceptional Lifespans</t>
  </si>
  <si>
    <t>Maier, Heiner</t>
  </si>
  <si>
    <t>Ranaviruses : Lethal Pathogens of Ectothermic Vertebrates</t>
  </si>
  <si>
    <t>Gray, Matthew J.</t>
  </si>
  <si>
    <t>A History of Radionuclide Studies in the UK : 50th Anniversary of the British Nuclear Medicine Society</t>
  </si>
  <si>
    <t>McCready, Ralph</t>
  </si>
  <si>
    <t>Inorganic Constituents in Soil : Basics and Visuals</t>
  </si>
  <si>
    <t>Nanzyo, Masami</t>
  </si>
  <si>
    <t>Nils Petter Gleditsch: Pioneer in the Analysis of War and Peace</t>
  </si>
  <si>
    <t>Aquaculture Perspective of Multi-Use Sites in the Open Ocean : The Untapped Potential for Marine Resources in the Anthropocene</t>
  </si>
  <si>
    <t>Buck, Bela H.</t>
  </si>
  <si>
    <t>Agricultural and Forestry Reconstruction after the Great East Japan Earthquake : Tsunami, Radioactive, and Reputational Damages</t>
  </si>
  <si>
    <t>Monma, Toshiyuki</t>
  </si>
  <si>
    <t>Transgovernance : Advancing Sustainability Governance</t>
  </si>
  <si>
    <t>Meuleman, Louis</t>
  </si>
  <si>
    <t>The InfoSec Handbook : An Introduction to Information Security</t>
  </si>
  <si>
    <t>Nayak, Umesha</t>
  </si>
  <si>
    <t>Verrechnungspreise : Grundlagen und Praxis</t>
  </si>
  <si>
    <t>Dawid, Roman</t>
  </si>
  <si>
    <t>Early Geometrical Thinking in the Environment of Patterns, Mosaics and Isometries</t>
  </si>
  <si>
    <t>Swoboda, Ewa</t>
  </si>
  <si>
    <t>The Handbook of Salutogenesis</t>
  </si>
  <si>
    <t>Mittelmark, Maurice B.</t>
  </si>
  <si>
    <t>Peer Review, Peer Education, and Modeling in the Practice of Clinical Ethics Consultation: the Zadeh Project</t>
  </si>
  <si>
    <t>Finder, Stuart G.</t>
  </si>
  <si>
    <t>The Making of Islamic Heritage : Muslim Pasts and Heritage Presents</t>
  </si>
  <si>
    <t>Rico, Trinidad</t>
  </si>
  <si>
    <t>Circular Migration and the Rights of Migrant Workers in Central and Eastern Europe : The EU Promise of a Triple Win Solution</t>
  </si>
  <si>
    <t>Vankova, Zvezda</t>
  </si>
  <si>
    <t>Financial Crisis Management and Democracy : Lessons from Europe and Latin America</t>
  </si>
  <si>
    <t>De Souza Guilherme, Bettina</t>
  </si>
  <si>
    <t>Energy Efficient Servers : Blueprints for Data Center Optimization</t>
  </si>
  <si>
    <t>Gough, Corey</t>
  </si>
  <si>
    <t>Report on Global Environmental Competitiveness (2013)</t>
  </si>
  <si>
    <t>Jianping, Li</t>
  </si>
  <si>
    <t>Managing the Complexity of Critical Infrastructures : A Modelling and Simulation Approach</t>
  </si>
  <si>
    <t>Setola, Roberto</t>
  </si>
  <si>
    <t>Autonomous Driving : Technical, Legal and Social Aspects</t>
  </si>
  <si>
    <t>Maurer, Markus</t>
  </si>
  <si>
    <t>Balanced Urban Development: Options and Strategies for Liveable Cities</t>
  </si>
  <si>
    <t>Maheshwari, Basant</t>
  </si>
  <si>
    <t>The Future Internet : Future Internet Assembly 2013: Validated Results and New Horizons</t>
  </si>
  <si>
    <t>Digital Video Concepts, Methods, and Metrics : Quality, Compression, Performance, and Power Trade-Off Analysis</t>
  </si>
  <si>
    <t>Akramullah, Shahriar</t>
  </si>
  <si>
    <t>Air Quality Integrated Assessment : A European Perspective</t>
  </si>
  <si>
    <t>Guariso, Giorgio</t>
  </si>
  <si>
    <t>White Paper on Joint Replacement : Status of Hip and Knee Arthroplasty Care in Germany</t>
  </si>
  <si>
    <t>Bleß, Hans-Holger</t>
  </si>
  <si>
    <t>Teaching and Learning of Calculus</t>
  </si>
  <si>
    <t>Bressoud, David</t>
  </si>
  <si>
    <t>The Future of the Law of the Sea : Bridging Gaps Between National, Individual and Common Interests</t>
  </si>
  <si>
    <t>Andreone, Gemma</t>
  </si>
  <si>
    <t>A Life Course Perspective on Health Trajectories and Transitions</t>
  </si>
  <si>
    <t>Burton-Jeangros, Claudine</t>
  </si>
  <si>
    <t>Model-Driven Development and Operation of Multi-Cloud Applications : The MODAClouds Approach</t>
  </si>
  <si>
    <t>Di Nitto, Elisabetta</t>
  </si>
  <si>
    <t>Innovations in Derivatives Markets : Fixed Income Modeling, Valuation Adjustments, Risk Management, and Regulation</t>
  </si>
  <si>
    <t>Diseases of the Abdomen and Pelvis 2018-2021 : Diagnostic Imaging - IDKD Book</t>
  </si>
  <si>
    <t>Advances in Wheat Genetics: from Genome to Field : Proceedings of the 12th International Wheat Genetics Symposium</t>
  </si>
  <si>
    <t>Ogihara, Yasunari</t>
  </si>
  <si>
    <t>Illustrated Pollen Terminology</t>
  </si>
  <si>
    <t>Halbritter, Heidemarie</t>
  </si>
  <si>
    <t>Knowledge and Action</t>
  </si>
  <si>
    <t>Agroecology Now! : Transformations Towards More Just and Sustainable Food Systems</t>
  </si>
  <si>
    <t>Anderson, Colin Ray</t>
  </si>
  <si>
    <t>A History of Force Feeding : Hunger Strikes, Prisons and Medical Ethics, 1909-1974</t>
  </si>
  <si>
    <t>Miller, Ian</t>
  </si>
  <si>
    <t>Die Big-Data-Debatte : Chancen und Risiken der Digital Vernetzten Gesellschaft</t>
  </si>
  <si>
    <t>Ship and Offshore Structure Design in Climate Change Perspective</t>
  </si>
  <si>
    <t>Bitner-Gregersen, Elzbieta Maria</t>
  </si>
  <si>
    <t>Risikoadaptierte Prävention : Governance Perspective Für Leistungsansprüche Bei Genetischen (Brustkrebs-)Risiken</t>
  </si>
  <si>
    <t>Meier, Friedhelm</t>
  </si>
  <si>
    <t>Nordic Mediation Research</t>
  </si>
  <si>
    <t>Nylund, Anna</t>
  </si>
  <si>
    <t>Promoting Social Dialogue in European Organizations : Human Resources Management and Constructive Conflict Management</t>
  </si>
  <si>
    <t>Euwema, Martin</t>
  </si>
  <si>
    <t>Tuberculosis in Adults and Children</t>
  </si>
  <si>
    <t>Heemskerk, Dorothee</t>
  </si>
  <si>
    <t>Guideline for Salinity Assessment, Mitigation and Adaptation Using Nuclear and Related Techniques</t>
  </si>
  <si>
    <t>Zaman, Mohammad</t>
  </si>
  <si>
    <t>Methodological Investigations in Agent-Based Modelling : With Applications for the Social Sciences</t>
  </si>
  <si>
    <t>Silverman, Eric</t>
  </si>
  <si>
    <t>International Comparative Studies in Mathematics : Lessons for Improving Students' Learning</t>
  </si>
  <si>
    <t>Proceedings of the 13th International Congress on Mathematical Education : Icme-13</t>
  </si>
  <si>
    <t>Weather and Climate Services for the Energy Industry</t>
  </si>
  <si>
    <t>Troccoli, Alberto</t>
  </si>
  <si>
    <t>Companion to European Heritage Revivals</t>
  </si>
  <si>
    <t>Egberts, Linde</t>
  </si>
  <si>
    <t>Lone Parenthood in the Life Course</t>
  </si>
  <si>
    <t>Bernardi, Laura</t>
  </si>
  <si>
    <t>Grassroots Politics and Oil Culture in Venezuela : The Revolutionary Petro-State</t>
  </si>
  <si>
    <t>Strønen, Iselin Åsedotter</t>
  </si>
  <si>
    <t>The Ecological Scarcity Method for the European Union : A Volkswagen Research Initiative: Environmental Assessments</t>
  </si>
  <si>
    <t>Ahbe, Stephan</t>
  </si>
  <si>
    <t>Innovative Medicine : Basic Research and Development</t>
  </si>
  <si>
    <t>Nakao, Kazuwa</t>
  </si>
  <si>
    <t>Access to Online Resources : A Guide for the Modern Librarian</t>
  </si>
  <si>
    <t>Botyriute, Kristina</t>
  </si>
  <si>
    <t>Skills Development for Inclusive and Sustainable Growth in Developing Asia-Pacific</t>
  </si>
  <si>
    <t>Maclean, Rupert</t>
  </si>
  <si>
    <t>DevOps for Digital Leaders : Reignite Business with a Modern DevOps-Enabled Software Factory</t>
  </si>
  <si>
    <t>Ravichandran, Aruna</t>
  </si>
  <si>
    <t>Migration in the Southern Balkans : From Ottoman Territory to Globalized Nation States</t>
  </si>
  <si>
    <t>Vermeulen, Hans</t>
  </si>
  <si>
    <t>Reflections on the Fukushima Daiichi Nuclear Accident : Toward Social-Scientific Literacy and Engineering Resilience</t>
  </si>
  <si>
    <t>Ahn, Joonhong</t>
  </si>
  <si>
    <t>Rising Powers and Peacebuilding : Breaking the Mold?</t>
  </si>
  <si>
    <t>Call, Charles T.</t>
  </si>
  <si>
    <t>Telecommunication Economics : Selected Results of the COST Action IS0605 Econ@Tel</t>
  </si>
  <si>
    <t>Hadjiantonis, Antonis M.</t>
  </si>
  <si>
    <t>Entity-Oriented Search</t>
  </si>
  <si>
    <t>Balog, Krisztian</t>
  </si>
  <si>
    <t>Mobilities of Knowledge</t>
  </si>
  <si>
    <t>Jöns, Heike</t>
  </si>
  <si>
    <t>Interface Oral Health Science 2016 : Innovative Research on Biosis-Abiosis Intelligent Interface</t>
  </si>
  <si>
    <t>Sasaki, Keiichi</t>
  </si>
  <si>
    <t>A History of Self-Harm in Britain : A Genealogy of Cutting and Overdosing</t>
  </si>
  <si>
    <t>Millard, Chris</t>
  </si>
  <si>
    <t>The European Higher Education Area : Between Critical Reflections and Future Policies</t>
  </si>
  <si>
    <t>Talent Development in European Higher Education : Honors Programs in the Benelux, Nordic and German-Speaking Countries</t>
  </si>
  <si>
    <t>Wolfensberger, Marca V. C.</t>
  </si>
  <si>
    <t>Ocean-Atmosphere Interactions of Gases and Particles</t>
  </si>
  <si>
    <t>Liss, Peter S.</t>
  </si>
  <si>
    <t>Constructions of Cancer in Early Modern England : Ravenous Natures</t>
  </si>
  <si>
    <t>Skuse, Alanna</t>
  </si>
  <si>
    <t>Nuclear Back-End and Transmutation Technology for Waste Disposal : Beyond the Fukushima Accident</t>
  </si>
  <si>
    <t>Nakajima, Ken</t>
  </si>
  <si>
    <t>Bisociative Knowledge Discovery : An Introduction to Concept, Algorithms, Tools, and Applications</t>
  </si>
  <si>
    <t>Berthold, Michael R.</t>
  </si>
  <si>
    <t>Disasters: Core Concepts and Ethical Theories</t>
  </si>
  <si>
    <t>O'Mathúna, Dónal P.</t>
  </si>
  <si>
    <t>Ukrainian Migration to the European Union : Lessons from Migration Studies</t>
  </si>
  <si>
    <t>Fedyuk, Olena</t>
  </si>
  <si>
    <t>Managing Elevated Risk : Global Liquidity, Capital Flows, and Macroprudential Policy--An Asian Perspective</t>
  </si>
  <si>
    <t>Azis, Iwan J.</t>
  </si>
  <si>
    <t>Social Statistics and Ethnic Diversity : Cross-National Perspectives in Classifications and Identity Politics</t>
  </si>
  <si>
    <t>Simon, Patrick</t>
  </si>
  <si>
    <t>Science and Technology Governance and Ethics : A Global Perspective from Europe, India and China</t>
  </si>
  <si>
    <t>Krankenhaus-Report 2019 : Das Digitale Krankenhaus</t>
  </si>
  <si>
    <t>Mare-Wint : New Materials and Reliability in Offshore Wind Turbine Technology</t>
  </si>
  <si>
    <t>Ostachowicz, Wiesław</t>
  </si>
  <si>
    <t>A History of Male Psychological Disorders in Britain, 1945-1980</t>
  </si>
  <si>
    <t>Haggett, Alison</t>
  </si>
  <si>
    <t>Humanities World Report 2015</t>
  </si>
  <si>
    <t>Holm, P.</t>
  </si>
  <si>
    <t>Weißbuch Gelenkersatz : Versorgungssituation Endoprothetischer Hüft- und Knieoperationen in Deutschland</t>
  </si>
  <si>
    <t>Nicotinic Acetylcholine Receptor Signaling in Neuroprotection</t>
  </si>
  <si>
    <t>Akaike, Akinori</t>
  </si>
  <si>
    <t>Biomineralization : From Molecular and Nano-Structural Analyses to Environmental Science</t>
  </si>
  <si>
    <t>Endo, Kazuyoshi</t>
  </si>
  <si>
    <t>Nuel Belnap on Indeterminism and Free Action</t>
  </si>
  <si>
    <t>Müller, Thomas</t>
  </si>
  <si>
    <t>Library and Information Sciences : Trends and Research</t>
  </si>
  <si>
    <t>Chen, Chuanfu</t>
  </si>
  <si>
    <t>Protecting the Rights of People with Autism in the Fields of Education and Employment : International, European and National Perspectives</t>
  </si>
  <si>
    <t>Della Fina, Valentina</t>
  </si>
  <si>
    <t>Integrating Immigrants in Europe : Research-Policy Dialogues</t>
  </si>
  <si>
    <t>Scholten, Peter</t>
  </si>
  <si>
    <t>Economics of Land Degradation and Improvement - a Global Assessment for Sustainable Development</t>
  </si>
  <si>
    <t>Nkonya, Ephraim</t>
  </si>
  <si>
    <t>Ethnic Identity, Social Mobility and the Role of Soulmates</t>
  </si>
  <si>
    <t>Slootman, Marieke</t>
  </si>
  <si>
    <t>Nanoinformatics</t>
  </si>
  <si>
    <t>Tanaka, Isao</t>
  </si>
  <si>
    <t>Das Blaue Buch : Chemotherapie-Manual Hämatologie und Onkologie</t>
  </si>
  <si>
    <t>Engelhardt, Monika</t>
  </si>
  <si>
    <t>Perspectives on European Earthquake Engineering and Seismology : Volume 2</t>
  </si>
  <si>
    <t>Ansal, Atilla</t>
  </si>
  <si>
    <t>Research on Teaching and Learning Mathematics at the Tertiary Level : State-Of-the-art and Looking Ahead</t>
  </si>
  <si>
    <t>Biza, Irene</t>
  </si>
  <si>
    <t>Food Price Volatility and Its Implications for Food Security and Policy</t>
  </si>
  <si>
    <t>Kalkuhl, Matthias</t>
  </si>
  <si>
    <t>Interdisciplinary Mathematics Education : A State of the Art</t>
  </si>
  <si>
    <t>Williams, Julian</t>
  </si>
  <si>
    <t>The Ethics of Educational Healthcare Placements in Low and Middle Income Countries : First Do No Harm?</t>
  </si>
  <si>
    <t>Ahmed, Anya</t>
  </si>
  <si>
    <t>Formalizing the Shadow Economy in Serbia : Policy Measures and Growth Effects</t>
  </si>
  <si>
    <t>Krstić, Gorana</t>
  </si>
  <si>
    <t>Öffentliche Verwaltung - Verwaltung in Der Öffentlichkeit : Herausforderungen und Chancen der Kommunikation öffentlicher Institutionen</t>
  </si>
  <si>
    <t>Kocks, Klaus</t>
  </si>
  <si>
    <t>Education and Skills for Inclusive Growth, Green Jobs and the Greening of Economies in Asia : Case Study Summaries of India, Indonesia, Sri Lanka and Viet Nam</t>
  </si>
  <si>
    <t>Fungal Disease in Britain and the United States 1850-2000 : Mycoses and Modernity</t>
  </si>
  <si>
    <t>Homei, A.</t>
  </si>
  <si>
    <t>Socioeconomics of Agriculture</t>
  </si>
  <si>
    <t>Mann, Stefan</t>
  </si>
  <si>
    <t>Sustainable Living with Environmental Risks</t>
  </si>
  <si>
    <t>Kaneko, Nobuhiro</t>
  </si>
  <si>
    <t>A Demographic Perspective on Gender, Family and Health in Europe</t>
  </si>
  <si>
    <t>Doblhammer, Gabriele</t>
  </si>
  <si>
    <t>Religiöse Rituale und Soziale Ordnung</t>
  </si>
  <si>
    <t>Walthert, Rafael</t>
  </si>
  <si>
    <t>Etiology and Morphogenesis of Congenital Heart Disease : From Gene Function and Cellular Interaction to Morphology</t>
  </si>
  <si>
    <t>Nakanishi, Toshio</t>
  </si>
  <si>
    <t>The Restless Compendium : Interdisciplinary Investigations of Rest and Its Opposites</t>
  </si>
  <si>
    <t>Callard, Felicity</t>
  </si>
  <si>
    <t>Linear Selection Indices in Modern Plant Breeding</t>
  </si>
  <si>
    <t>Céron-Rojas, J. Jesus</t>
  </si>
  <si>
    <t>Transdisziplinär und Transformativ Forschen : Eine Methodensammlung</t>
  </si>
  <si>
    <t>Di Giulio, Antonietta</t>
  </si>
  <si>
    <t>Gesundheitsversorgung Am Lebensende : Soziale Ungleichheit in Bezug Auf Institutionsaufenthalte und Sterbeorte</t>
  </si>
  <si>
    <t>Hedinger, Damian</t>
  </si>
  <si>
    <t>Media Resistance : Protest, Dislike, Abstention</t>
  </si>
  <si>
    <t>Syvertsen, Trine</t>
  </si>
  <si>
    <t>Pragmatic Philanthropy : Asian Charity Explained</t>
  </si>
  <si>
    <t>Shapiro, Ruth A.</t>
  </si>
  <si>
    <t>Manifesto of the New Economy : Institutions and Business Models of the Digital Society</t>
  </si>
  <si>
    <t>Dolgin, Alexander</t>
  </si>
  <si>
    <t>Agricultural Implications of the Fukushima Nuclear Accident</t>
  </si>
  <si>
    <t>Nakanishi, Tomoko M.</t>
  </si>
  <si>
    <t>Handbook of Ocean Wave Energy</t>
  </si>
  <si>
    <t>Pecher, Arthur</t>
  </si>
  <si>
    <t>Young People's Views of Government, Peaceful Coexistence, and Diversity in Five Latin American Countries : IEA International Civic and Citizenship Education Study 2016 Latin American Report</t>
  </si>
  <si>
    <t>Berufliche Passagen Im Lebenslauf : Berufsbildungs- und Transitionsforschung in der Schweiz</t>
  </si>
  <si>
    <t>Häfeli, Kurt</t>
  </si>
  <si>
    <t>Social Innovations in the Urban Context</t>
  </si>
  <si>
    <t>Brandsen, Taco</t>
  </si>
  <si>
    <t>Protest Movements in Asylum and Deportation</t>
  </si>
  <si>
    <t>Rosenberger, Sieglinde</t>
  </si>
  <si>
    <t>TouchDevelop : Programming on the Go</t>
  </si>
  <si>
    <t>Horspool, Nigel</t>
  </si>
  <si>
    <t>Environmental Governance of the Baltic Sea</t>
  </si>
  <si>
    <t>Gilek, Michael</t>
  </si>
  <si>
    <t>Interferometry and Synthesis in Radio Astronomy</t>
  </si>
  <si>
    <t>Thompson, A. Richard</t>
  </si>
  <si>
    <t>Cyborgs in Latin America</t>
  </si>
  <si>
    <t>Brown, J.</t>
  </si>
  <si>
    <t>Physical (a)Causality : Determinism, Randomness and Uncaused Events</t>
  </si>
  <si>
    <t>Svozil, Karl</t>
  </si>
  <si>
    <t>Embedded Firmware Solutions : Development Best Practices for the Internet of Things</t>
  </si>
  <si>
    <t>Zimmer, Vincent</t>
  </si>
  <si>
    <t>Pflege-Report 2019 : Mehr Personal in der Langzeitpflege - Aber Woher?</t>
  </si>
  <si>
    <t>Freiwilliges Engagement in Deutschland : Der Deutsche Freiwilligensurvey 2014</t>
  </si>
  <si>
    <t>Contemporary Issues in Human Rights Law : Europe and Asia</t>
  </si>
  <si>
    <t>Nakanishi, Yumiko</t>
  </si>
  <si>
    <t>Climate Smart Agriculture : Building Resilience to Climate Change</t>
  </si>
  <si>
    <t>Lipper, Leslie</t>
  </si>
  <si>
    <t>Childlessness in Europe: Contexts, Causes, and Consequences</t>
  </si>
  <si>
    <t>Kreyenfeld, Michaela</t>
  </si>
  <si>
    <t>Nature-Based Solutions to Climate Change Adaptation in Urban Areas : Linkages Between Science, Policy and Practice</t>
  </si>
  <si>
    <t>Kabisch, Nadja</t>
  </si>
  <si>
    <t>Renewing Local Planning to Face Climate Change in the Tropics</t>
  </si>
  <si>
    <t>Inklusives Wachstum und Wirtschaftliche Sicherheit : Erkenntnisse ökonomischer Spitzenforschung Prägnant Zusammengefasst</t>
  </si>
  <si>
    <t>Keuschnigg, Christian</t>
  </si>
  <si>
    <t>META-NET Strategic Research Agenda for Multilingual Europe 2020</t>
  </si>
  <si>
    <t>Rehm, Georg</t>
  </si>
  <si>
    <t>Early Childhood Policies and Systems in Eight Countries : Findings from IEA's Early Childhood Education Study</t>
  </si>
  <si>
    <t>Bertram, Tony</t>
  </si>
  <si>
    <t>Mergers and Alliances in Higher Education : International Practice and Emerging Opportunities</t>
  </si>
  <si>
    <t>Inter-Group Relations and Migrant Integration in European Cities : Changing Neighbourhoods</t>
  </si>
  <si>
    <t>Pastore, Ferruccio</t>
  </si>
  <si>
    <t>Low-Cost Methods for Molecular Characterization of Mutant Plants : Tissue Desiccation, DNA Extraction and Mutation Discovery: Protocols</t>
  </si>
  <si>
    <t>Till, Bradley J.</t>
  </si>
  <si>
    <t>Corporate Data Quality : Voraussetzung Erfolgreicher Geschäftsmodelle</t>
  </si>
  <si>
    <t>Otto, Boris</t>
  </si>
  <si>
    <t>The Mathematics Education of Prospective Secondary Teachers Around the World</t>
  </si>
  <si>
    <t>Strutchens, Marilyn E.</t>
  </si>
  <si>
    <t>Environmental Leadership Capacity Building in Higher Education : Experience and Lessons from Asian Program for Incubation of Environmental Leaders</t>
  </si>
  <si>
    <t>Mino, Takashi</t>
  </si>
  <si>
    <t>Think Big, Start Small : Streetscooter Die e-Mobile Erfolgsstory: Innovationsprozesse Radikal Effizienter</t>
  </si>
  <si>
    <t>Kampker, Achim</t>
  </si>
  <si>
    <t>Familial Feeling : Entangled Tonalities in Early Black Atlantic Writing and the Rise of the British Novel</t>
  </si>
  <si>
    <t>Haschemi Yekani, Elahe</t>
  </si>
  <si>
    <t>Habitats and Biota of the Gulf of Mexico: Before the Deepwater Horizon Oil Spill : Volume 2: Fish Resources, Fisheries, Sea Turtles, Avian Resources, Marine Mammals, Diseases and Mortalities</t>
  </si>
  <si>
    <t>Springer New York</t>
  </si>
  <si>
    <t>Ward, C. Herb</t>
  </si>
  <si>
    <t>Affe und Affekt : Die Poetik und Politik der Emotionalität in der Primatologie</t>
  </si>
  <si>
    <t>J. B. Metzler'sche Verlagsbuchhandlung &amp; Carl Ernst Poeschel GmbH</t>
  </si>
  <si>
    <t>Shah, Mira</t>
  </si>
  <si>
    <t>Pro Git</t>
  </si>
  <si>
    <t>Chacon, Scott</t>
  </si>
  <si>
    <t>Impacts of the Fukushima Nuclear Accident on Fish and Fishing Grounds</t>
  </si>
  <si>
    <t>Nakata, Kaoru</t>
  </si>
  <si>
    <t>Limits to the European Union's Normative Power in a Post-Conflict Society : EULEX and Peacebuilding in Kosovo</t>
  </si>
  <si>
    <t>Zupančič, Rok</t>
  </si>
  <si>
    <t>Android on X86 : An Introduction to Optimizing for Intel Architecture</t>
  </si>
  <si>
    <t>Krajci, Iggy</t>
  </si>
  <si>
    <t>Radiation Monitoring and Dose Estimation of the Fukushima Nuclear Accident</t>
  </si>
  <si>
    <t>Takahashi, Sentaro</t>
  </si>
  <si>
    <t>Managing Risk and Information Security : Protect to Enable</t>
  </si>
  <si>
    <t>Harkins, Malcolm</t>
  </si>
  <si>
    <t>Advancing Human Assessment : The Methodological, Psychological and Policy Contributions of ETS</t>
  </si>
  <si>
    <t>Bennett, Randy E.</t>
  </si>
  <si>
    <t>Delusions in Context</t>
  </si>
  <si>
    <t>Bortolotti, Lisa</t>
  </si>
  <si>
    <t>Cultural Heritage in a Changing World</t>
  </si>
  <si>
    <t>Borowiecki, Karol Jan</t>
  </si>
  <si>
    <t>Weißbuch Multiple Sklerose : Versorgungssituation in Deutschland</t>
  </si>
  <si>
    <t>Kip, Miriam</t>
  </si>
  <si>
    <t>Society - Water - Technology : A Critical Appraisal of Major Water Engineering Projects</t>
  </si>
  <si>
    <t>Hüttl, Reinhard F.</t>
  </si>
  <si>
    <t>Office 365: Migrating and Managing Your Business in the Cloud</t>
  </si>
  <si>
    <t>Katzer, Matthew</t>
  </si>
  <si>
    <t>The Cost of Insanity in Nineteenth-Century Ireland : Public, Voluntary and Private Asylum Care</t>
  </si>
  <si>
    <t>Mauger, Alice</t>
  </si>
  <si>
    <t>Marine Carbon Biogeochemistry : A Primer for Earth System Scientists</t>
  </si>
  <si>
    <t>Middelburg, Jack J.</t>
  </si>
  <si>
    <t>Self-Assembled Molecules - New Kind of Protein Ligands : Supramolecular Ligands</t>
  </si>
  <si>
    <t>Roterman, Irena</t>
  </si>
  <si>
    <t>Autonomes Fahren : Technische, Rechtliche und Gesellschaftliche Aspekte</t>
  </si>
  <si>
    <t>Technological and Institutional Innovations for Marginalized Smallholders in Agricultural Development</t>
  </si>
  <si>
    <t>Gatzweiler, Franz W.</t>
  </si>
  <si>
    <t>Enabling Asia to Stabilise the Climate</t>
  </si>
  <si>
    <t>Nishioka, Shuzo</t>
  </si>
  <si>
    <t>The Great Disruptor : Über Trump, Die Medien und Die Politik der Herabsetzung</t>
  </si>
  <si>
    <t>Koch, Lars</t>
  </si>
  <si>
    <t>Practical Economics : Economic Transformation and Government Reform in Georgia 2004-2012</t>
  </si>
  <si>
    <t>Gilauri, Nika</t>
  </si>
  <si>
    <t>Computer Vision Metrics : Survey, Taxonomy, and Analysis</t>
  </si>
  <si>
    <t>Krig, Scott</t>
  </si>
  <si>
    <t>Migrating and Settling in a Mobile World : Albanian Migrants and Their Children in Europe</t>
  </si>
  <si>
    <t>Vathi, Zana</t>
  </si>
  <si>
    <t>Zukunft der Arbeit - eine Praxisnahe Betrachtung</t>
  </si>
  <si>
    <t>Wischmann, Steffen</t>
  </si>
  <si>
    <t>Contested Childhoods: Growing up in Migrancy : Migration, Governance, Identities</t>
  </si>
  <si>
    <t>Seeberg, Marie Louise</t>
  </si>
  <si>
    <t>Digitale Souveränität : Bürger, Unternehmen, Staat</t>
  </si>
  <si>
    <t>Who Will Be the Next President? : A Guide to the U. S. Presidential Election System</t>
  </si>
  <si>
    <t>Belenky, Alexander S.</t>
  </si>
  <si>
    <t>Understanding Society and Natural Resources : Forging New Strands of Integration Across the Social Sciences</t>
  </si>
  <si>
    <t>Manfredo, Michael J.</t>
  </si>
  <si>
    <t>Digitale Transformation : Fallbeispiele und Branchenanalysen</t>
  </si>
  <si>
    <t>Oswald, Gerhard</t>
  </si>
  <si>
    <t>The Proceedings of the 12th International Congress on Mathematical Education : Intellectual and Attitudinal Challenges</t>
  </si>
  <si>
    <t>Cho, Sung-Je</t>
  </si>
  <si>
    <t>Indigenous Pathways, Transitions and Participation in Higher Education : From Policy to Practice</t>
  </si>
  <si>
    <t>Frawley, Jack</t>
  </si>
  <si>
    <t>Environmental Governance in Latin America</t>
  </si>
  <si>
    <t>De Castro, Fabio</t>
  </si>
  <si>
    <t>Child Protection in England, 1960-2000 : Expertise, Experience, and Emotion</t>
  </si>
  <si>
    <t>Crane, Jennifer</t>
  </si>
  <si>
    <t>Projection-Based Clustering Through Self-Organization and Swarm Intelligence : Combining Cluster Analysis with the Visualization of High-Dimensional Data</t>
  </si>
  <si>
    <t>Thrun, Michael Christoph</t>
  </si>
  <si>
    <t>Regulatory Pathways for Smart Grid Development in China</t>
  </si>
  <si>
    <t>Brunekreeft, Gert</t>
  </si>
  <si>
    <t>Genome Editing in Neurosciences</t>
  </si>
  <si>
    <t>Jaenisch, Rudolf</t>
  </si>
  <si>
    <t>Sensor Technologies : Healthcare, Wellness and Environmental Applications</t>
  </si>
  <si>
    <t>McGrath, Michael J.</t>
  </si>
  <si>
    <t>History of Mathematics Teaching and Learning : Achievements, Problems, Prospects</t>
  </si>
  <si>
    <t>Karp, Alexander</t>
  </si>
  <si>
    <t>IEA International Civic and Citizenship Education Study 2016 Assessment Framework</t>
  </si>
  <si>
    <t>Counteracting Urban Heat Island Effects in a Global Climate Change Scenario</t>
  </si>
  <si>
    <t>Musco, Francesco</t>
  </si>
  <si>
    <t>Multiculturalism and Conflict Reconciliation in the Asia-Pacific : Migration, Language and Politics</t>
  </si>
  <si>
    <t>Shimizu, K.</t>
  </si>
  <si>
    <t>Research on and Activities for Mathematically Gifted Students</t>
  </si>
  <si>
    <t>Singer, Florence Mihaela</t>
  </si>
  <si>
    <t>Non-Vitamin K Antagonist Oral Anticoagulants : A Concise Guide</t>
  </si>
  <si>
    <t>Shantsila, Eduard</t>
  </si>
  <si>
    <t>Sago Palm : Multiple Contributions to Food Security and Sustainable Livelihoods</t>
  </si>
  <si>
    <t>Ehara, Hiroshi</t>
  </si>
  <si>
    <t>Agenda-Setting Zwischen Parlament und Medien : Normative Herleitung und Empirische Untersuchung Am Beispiel der Schweiz</t>
  </si>
  <si>
    <t>Kovic, Marko</t>
  </si>
  <si>
    <t>Understanding the Bigger Energy Picture : DESERTEC and Beyond</t>
  </si>
  <si>
    <t>Düren, Michael</t>
  </si>
  <si>
    <t>Sexual Reproduction in Animals and Plants</t>
  </si>
  <si>
    <t>Sawada, Hitoshi</t>
  </si>
  <si>
    <t>X-Ray Contrast Media : Overview, Use and Pharmaceutical Aspects</t>
  </si>
  <si>
    <t>Speck, Ulrich</t>
  </si>
  <si>
    <t>Protocols for Pre-Field Screening of Mutants for Salt Tolerance in Rice, Wheat and Barley</t>
  </si>
  <si>
    <t>Bado, Souleymane</t>
  </si>
  <si>
    <t>Building the Foundation: Whole Numbers in the Primary Grades : The 23rd ICMI Study</t>
  </si>
  <si>
    <t>Bartolini Bussi, Maria G.</t>
  </si>
  <si>
    <t>Vergleichsweise Menschlich? : Ambulante Sanktionen Als Alternative Zur Freiheitsentziehung Aus Europäischer Perspektive</t>
  </si>
  <si>
    <t>Graebsch, Christine M.</t>
  </si>
  <si>
    <t>Poverty Reduction Policies and Practices in Developing Asia</t>
  </si>
  <si>
    <t>Heshmati, Almas</t>
  </si>
  <si>
    <t>The Philosophy of Mathematics Education</t>
  </si>
  <si>
    <t>Ernest, Paul</t>
  </si>
  <si>
    <t>Pflegeroboter</t>
  </si>
  <si>
    <t>Bendel, Oliver</t>
  </si>
  <si>
    <t>Advancing Energy Policy : Lessons on the Integration of Social Sciences and Humanities</t>
  </si>
  <si>
    <t>Foulds, Chris</t>
  </si>
  <si>
    <t>Teaching Tolerance in a Globalized World</t>
  </si>
  <si>
    <t>Sandoval-Hernández, Andrés</t>
  </si>
  <si>
    <t>Agricultural Implications of the Fukushima Nuclear Accident : The First Three Years</t>
  </si>
  <si>
    <t>Intel Trusted Execution Technology for Server Platforms : A Guide to More Secure Datacenters</t>
  </si>
  <si>
    <t>Futral, William</t>
  </si>
  <si>
    <t>Deutsch Als Zweitsprache: Alphabetisierung Für Jugendliche und Junge Erwachsene</t>
  </si>
  <si>
    <t>SchlaU - Werkstatt für Migrationspädagogik gGmbH, SchlaU -</t>
  </si>
  <si>
    <t>Digitale Transformation und Unternehmensführung : Trends und Perspektiven Für Die Praxis</t>
  </si>
  <si>
    <t>Schellinger, Jochen</t>
  </si>
  <si>
    <t>Wie Ticken Jugendliche 2016? : Lebenswelten Von Jugendlichen Im Alter Von 14 Bis 17 Jahren in Deutschland</t>
  </si>
  <si>
    <t>Calmbach, Marc</t>
  </si>
  <si>
    <t>Wetlands and Water Framework Directive : Protection, Management and Climate Change</t>
  </si>
  <si>
    <t>Ignar, Stefan</t>
  </si>
  <si>
    <t>A Practical Guide to TPM 2. 0 : Using the Trusted Platform Module in the New Age of Security</t>
  </si>
  <si>
    <t>Arthur, Will</t>
  </si>
  <si>
    <t>China's Gas Development Strategies</t>
  </si>
  <si>
    <t>Shell International B.V.</t>
  </si>
  <si>
    <t>Improving Psychiatric Care for Older People : Barbara Robb's Campaign 1965-1975</t>
  </si>
  <si>
    <t>Microfinance 3. 0 : Reconciling Sustainability with Social Outreach and Responsible Delivery</t>
  </si>
  <si>
    <t>Köhn, Doris</t>
  </si>
  <si>
    <t>Habitats and Biota of the Gulf of Mexico: Before the Deepwater Horizon Oil Spill : Volume 1: Water Quality, Sediments, Sediment Contaminants, Oil and Gas Seeps, Coastal Habitats, Offshore Plankton and Benthos, and Shellfish</t>
  </si>
  <si>
    <t>Information Infrastructures Within European Health Care : Working with the Installed Base</t>
  </si>
  <si>
    <t>Aanestad, Margunn</t>
  </si>
  <si>
    <t>Kommunikation und Bildverarbeitung in der Automation : Ausgewählte Beiträge der Jahreskolloquien KommA und BVAu 2018</t>
  </si>
  <si>
    <t>Jasperneite, Jürgen</t>
  </si>
  <si>
    <t>The Illusion of Risk Control : What Does It Take to Live with Uncertainty?</t>
  </si>
  <si>
    <t>Motet, Gilles</t>
  </si>
  <si>
    <t>Snow Sports Trauma and Safety : Conference Proceedings of the International Society for Skiing Safety: 21st Volume</t>
  </si>
  <si>
    <t>Scher, Irving S.</t>
  </si>
  <si>
    <t>Engineering a Better Future : Interplay Between Engineering, Social Sciences, and Innovation</t>
  </si>
  <si>
    <t>Subrahmanian, Eswaran</t>
  </si>
  <si>
    <t>Development Policies and Policy Processes in Africa : Modeling and Evaluation</t>
  </si>
  <si>
    <t>Henning, Christian</t>
  </si>
  <si>
    <t>Learn BlackBerry 10 App Development : A Cascades-Driven Approach</t>
  </si>
  <si>
    <t>Ludin, Anwar</t>
  </si>
  <si>
    <t>Greening the Financial Sector : How to Mainstream Environmental Finance in Developing Countries</t>
  </si>
  <si>
    <t>Perspectives on European Earthquake Engineering and Seismology : Volume 1</t>
  </si>
  <si>
    <t>European Somalis' Post-Migration Movements : Mobility Capital and the Transnationalisation of Resources</t>
  </si>
  <si>
    <t>Moret, Joëlle</t>
  </si>
  <si>
    <t>Enabling Things to Talk : Designing IoT Solutions with the IoT Architectural Reference Model</t>
  </si>
  <si>
    <t>Bassi, Alessandro</t>
  </si>
  <si>
    <t>Pflege-Report 2018 : Qualität in der Pflege</t>
  </si>
  <si>
    <t>Responsive Open Learning Environments : Outcomes of Research from the ROLE Project</t>
  </si>
  <si>
    <t>Kroop, Sylvana</t>
  </si>
  <si>
    <t>Collaborating Against Child Abuse : Exploring the Nordic Barnahus Model</t>
  </si>
  <si>
    <t>Johansson, Susanna</t>
  </si>
  <si>
    <t>Finance for Food : Towards New Agricultural and Rural Finance</t>
  </si>
  <si>
    <t>Nachhaltigkeit in Umwelt, Wirtschaft und Gesellschaft : Interdisziplinäre Perspektiven</t>
  </si>
  <si>
    <t>Altmeppen, Klaus-Dieter</t>
  </si>
  <si>
    <t>Paris Climate Agreement: Beacon of Hope</t>
  </si>
  <si>
    <t>Salawitch, Ross J.</t>
  </si>
  <si>
    <t>Advances in Discrete Differential Geometry</t>
  </si>
  <si>
    <t>Bobenko, Alexander I.</t>
  </si>
  <si>
    <t>The Onlife Manifesto : Being Human in a Hyperconnected Era</t>
  </si>
  <si>
    <t>Floridi, Luciano</t>
  </si>
  <si>
    <t>Uses of Technology in Lower Secondary Mathematics Education : A Concise Topical Survey</t>
  </si>
  <si>
    <t>Drijvers, Paul</t>
  </si>
  <si>
    <t>R. J. Rummel: an Assessment of His Many Contributions</t>
  </si>
  <si>
    <t>Investigations into the Phenomenology and the Ontology of the Work of Art : What Are Artworks and How Do We Experience Them?</t>
  </si>
  <si>
    <t>Bundgaard, Peer F.</t>
  </si>
  <si>
    <t>Outsourcing Legal Aid in the Nordic Welfare States</t>
  </si>
  <si>
    <t>Halvorsen Rønning, Olaf</t>
  </si>
  <si>
    <t>Future Skills : Lernen der Zukunft - Hochschule der Zukunft</t>
  </si>
  <si>
    <t>Ehlers, Ulf-Daniel</t>
  </si>
  <si>
    <t>The Future Internet : Future Internet Assembly 2012: from Promises to Reality</t>
  </si>
  <si>
    <t>Alvarez, Federico</t>
  </si>
  <si>
    <t>Iutam : A Short History</t>
  </si>
  <si>
    <t>Eberhard, Peter</t>
  </si>
  <si>
    <t>Applying the Kaizen in Africa : A New Avenue for Industrial Development</t>
  </si>
  <si>
    <t>Otsuka, Keijiro</t>
  </si>
  <si>
    <t>Efficient Learning Machines : Theories, Concepts, and Applications for Engineers and System Designers</t>
  </si>
  <si>
    <t>Awad, Mariette</t>
  </si>
  <si>
    <t>S-BPM in the Wild : Practical Value Creation</t>
  </si>
  <si>
    <t>Fleischmann, Albert</t>
  </si>
  <si>
    <t>Animals and the Shaping of Modern Medicine : One Health and Its Histories</t>
  </si>
  <si>
    <t>Woods, Abigail</t>
  </si>
  <si>
    <t>Synchronized Factories : Latin America and the Caribbean in the Era of Global Value Chains</t>
  </si>
  <si>
    <t>Blyde, Juan S.</t>
  </si>
  <si>
    <t>Platform Embedded Security Technology Revealed : Safeguarding the Future of Computing with Intel Embedded Security and Management Engine</t>
  </si>
  <si>
    <t>Ruan, Xiaoyu</t>
  </si>
  <si>
    <t>Connecting Mathematics and Mathematics Education : Collected Papers on Mathematics Education As a Design Science</t>
  </si>
  <si>
    <t>Wittmann, Erich Christian</t>
  </si>
  <si>
    <t>The Globalization of Science Curricula</t>
  </si>
  <si>
    <t>Stacey, Oliver</t>
  </si>
  <si>
    <t>Altern Im Wandel : Zwei Jahrzehnte Deutscher Alterssurvey (DEAS)</t>
  </si>
  <si>
    <t>Mahne, Katharina</t>
  </si>
  <si>
    <t>Hormones, Metabolism and the Benefits of Exercise</t>
  </si>
  <si>
    <t>Spiegelman, Bruce</t>
  </si>
  <si>
    <t>Mercury Pollution in Minamata</t>
  </si>
  <si>
    <t>Yokoyama, Hisashi</t>
  </si>
  <si>
    <t>Urbanization, Biodiversity and Ecosystem Services: Challenges and Opportunities : A Global Assessment</t>
  </si>
  <si>
    <t>Elmqvist, Thomas</t>
  </si>
  <si>
    <t>Bildungsverläufe Von der Einschulung Bis in Den Ersten Arbeitsmarkt : Theoretische Ansätze, Empirische Befunde und Beispiele</t>
  </si>
  <si>
    <t>Belly-Rippers, Surgical Innovation and the Ovariotomy Controversy</t>
  </si>
  <si>
    <t>Frampton, Sally</t>
  </si>
  <si>
    <t>Assessment in Mathematics Education : Large-Scale Assessment and Classroom Assessment</t>
  </si>
  <si>
    <t>Suurtamm, Christine</t>
  </si>
  <si>
    <t>Human Rights in Child Protection : Implications for Professional Practice and Policy</t>
  </si>
  <si>
    <t>Falch-Eriksen, Asgeir</t>
  </si>
  <si>
    <t>Ganzheitliche Digitalisierung Von Prozessen : Perspektivenwechsel - Design Thinking - Wertegeleitete Interaktion</t>
  </si>
  <si>
    <t>Empirical Research in Statistics Education</t>
  </si>
  <si>
    <t>Eichler, Andreas</t>
  </si>
  <si>
    <t>Impact of Information Society Research in the Global South</t>
  </si>
  <si>
    <t>Chib, Arul</t>
  </si>
  <si>
    <t>Optimizing HPC Applications with Intel Cluster Tools : Hunting Petaflops</t>
  </si>
  <si>
    <t>Supalov, Alexander</t>
  </si>
  <si>
    <t>The Future of the Bamiyan Buddha Statues : Heritage Reconstruction in Theory and Practice</t>
  </si>
  <si>
    <t>Nagaoka, Masanori</t>
  </si>
  <si>
    <t>Taking Stock of Industrial Ecology</t>
  </si>
  <si>
    <t>Clift, Roland</t>
  </si>
  <si>
    <t>Soziale Netzwerke und Gesundheitliche Ungleichheiten : Eine Neue Perspektive Für Die Forschung</t>
  </si>
  <si>
    <t>Klärner, Andreas</t>
  </si>
  <si>
    <t>Managing Protected Areas in Central and Eastern Europe under Climate Change</t>
  </si>
  <si>
    <t>Rannow, Sven</t>
  </si>
  <si>
    <t>Sustainable Land Use and Rural Development in Southeast Asia: Innovations and Policies for Mountainous Areas</t>
  </si>
  <si>
    <t>öhlich, Holger L.</t>
  </si>
  <si>
    <t>Contemporary Turkey at a Glance : Interdisciplinary Perspectives on Local and Translocal Dynamics</t>
  </si>
  <si>
    <t>Kamp, Kristina</t>
  </si>
  <si>
    <t>Research on Teaching and Learning Probability</t>
  </si>
  <si>
    <t>Batanero, Carmen</t>
  </si>
  <si>
    <t>Interface Oral Health Science 2014 : Innovative Research on Biosis-Abiosis Intelligent Interface</t>
  </si>
  <si>
    <t>Ester Boserup's Legacy on Sustainability : Orientations for Contemporary Research</t>
  </si>
  <si>
    <t>Fischer-Kowalski, Marina</t>
  </si>
  <si>
    <t>Beyond the Limits to Growth : New Ideas for Sustainability from Japan</t>
  </si>
  <si>
    <t>Komiyama, Hiroshi</t>
  </si>
  <si>
    <t>Problem Solving in Mathematics Education</t>
  </si>
  <si>
    <t>Liljedahl, Peter</t>
  </si>
  <si>
    <t>Klimawandel in Deutschland : Entwicklung, Folgen, Risiken und Perspektiven</t>
  </si>
  <si>
    <t>Brasseur, Guy P.</t>
  </si>
  <si>
    <t>Fulfilling the Promise of Technology Transfer : Fostering Innovation for the Benefit of Society</t>
  </si>
  <si>
    <t>Hishida, Koichi</t>
  </si>
  <si>
    <t>The Ethics of Medical Data Donation</t>
  </si>
  <si>
    <t>Krutzinna, Jenny</t>
  </si>
  <si>
    <t>Die Finanzkrise 2008 Im Unbewussten : Über Die Ökonomie des Seelenlebens in Zeiten der Krise</t>
  </si>
  <si>
    <t>Klug, Helga</t>
  </si>
  <si>
    <t>Bordieuan Field Theory As an Instrument for Military Operational Analysis</t>
  </si>
  <si>
    <t>Gunneriusson, Håkan</t>
  </si>
  <si>
    <t>Agential Realism Als Basis Queer(end)er Experimentalpsychologie : Eine Wissenschaftstheoretische Auseinandersetzung</t>
  </si>
  <si>
    <t>Scholz, Julia</t>
  </si>
  <si>
    <t>Preparing for Life in a Digital Age : The IEA International Computer and Information Literacy Study International Report</t>
  </si>
  <si>
    <t>Knowledge and Networks</t>
  </si>
  <si>
    <t>Glückler, Johannes</t>
  </si>
  <si>
    <t>Harkins, Malcolm W.</t>
  </si>
  <si>
    <t>Healthcare, Frugal Innovation, and Professional Voluntarism : A Cost-Benefit Analysis</t>
  </si>
  <si>
    <t>Ackers, Helen Louise</t>
  </si>
  <si>
    <t>Cognitive Supervision for Robot-Assisted Minimally Invasive Laser Surgery</t>
  </si>
  <si>
    <t>Fichera, Loris</t>
  </si>
  <si>
    <t>Pentecostalism and Witchcraft : Spiritual Warfare in Africa and Melanesia</t>
  </si>
  <si>
    <t>Rio, Knut</t>
  </si>
  <si>
    <t>S-BPM Illustrated : A Storybook about Business Process Modeling and Execution</t>
  </si>
  <si>
    <t>Dependable Embedded Systems</t>
  </si>
  <si>
    <t>Henkel, Jörg</t>
  </si>
  <si>
    <t>Earthquakes, Tsunamis and Nuclear Risks : Prediction and Assessment Beyond the Fukushima Accident</t>
  </si>
  <si>
    <t>Kamae, Katsuhiro</t>
  </si>
  <si>
    <t>AiREAS: Sustainocracy for a Healthy City : The Invisible Made Visible Phase 1</t>
  </si>
  <si>
    <t>Close, Jean-Paul</t>
  </si>
  <si>
    <t>Africa-Europe Research and Innovation Cooperation : Global Challenges, Bi-Regional Responses</t>
  </si>
  <si>
    <t>Cherry, Andrew</t>
  </si>
  <si>
    <t>Freshwater Governance for the 21st Century</t>
  </si>
  <si>
    <t>Karar, Eiman</t>
  </si>
  <si>
    <t>Russia's Turn to the East : Domestic Policymaking and Regional Cooperation</t>
  </si>
  <si>
    <t>Blakkisrud, Helge</t>
  </si>
  <si>
    <t>Atlas of Challenges and Opportunities in European Neighbourhoods</t>
  </si>
  <si>
    <t>BECKOUCHE, Pierre</t>
  </si>
  <si>
    <t>Earth Observation Open Science and Innovation</t>
  </si>
  <si>
    <t>Mathieu, Pierre-Philippe</t>
  </si>
  <si>
    <t>Proceedings of the Scientific-Practical Conference Research and Development - 2016</t>
  </si>
  <si>
    <t>Anisimov, K. V.</t>
  </si>
  <si>
    <t>Current and Future Perspectives of Ethnomathematics As a Program</t>
  </si>
  <si>
    <t>Rosa, Milton</t>
  </si>
  <si>
    <t>High Density Lipoproteins : From Biological Understanding to Clinical Exploitation</t>
  </si>
  <si>
    <t>von Eckardstein, Arnold</t>
  </si>
  <si>
    <t>AiREAS: Sustainocracy for a Healthy City : Phase 3: Civilian Participation - Including the Global Health Deal Proposition</t>
  </si>
  <si>
    <t>New Horizons for Asian Museums and Museology</t>
  </si>
  <si>
    <t>Sonoda, Naoko</t>
  </si>
  <si>
    <t>Solving the Powertrain Puzzle : 10th Schaeffler Symposium April 3/4 2014</t>
  </si>
  <si>
    <t>Schaeffler Technologies GmbH &amp; Co. KG, Schaeffler Technologies</t>
  </si>
  <si>
    <t>Proceedings of the International Conference on Social Modeling and Simulation, Plus Econophysics Colloquium 2014</t>
  </si>
  <si>
    <t>Takayasu, Hideki</t>
  </si>
  <si>
    <t>Global Perspectives on Recognising Non-Formal and Informal Learning : Why Recognition Matters</t>
  </si>
  <si>
    <t>Singh, Madhu</t>
  </si>
  <si>
    <t>A Fair Share of Tax : A Fiscal Anthropology of Contemporary Sweden</t>
  </si>
  <si>
    <t>Björklund Larsen, Lotta</t>
  </si>
  <si>
    <t>Zukunft der Arbeit in Industrie 4. 0</t>
  </si>
  <si>
    <t>Botthof, Alfons</t>
  </si>
  <si>
    <t>Evolution, Monitoring and Predicting Models of Rockburst : Precursor Information for Rock Failure</t>
  </si>
  <si>
    <t>Wang, Chunlai</t>
  </si>
  <si>
    <t>Ein Neuer Gesellschaftsvertrag Für eine Nachhaltige Landwirtschaft : Wege Zu Einer Integrativen Politik Für Den Agrarsektor</t>
  </si>
  <si>
    <t>Feindt, Peter H.</t>
  </si>
  <si>
    <t>Model-Based Demography : Essays on Integrating Data, Technique and Theory</t>
  </si>
  <si>
    <t>Burch, Thomas K.</t>
  </si>
  <si>
    <t>Krankenhaus-Report 2020 : Finanzierung und Vergütung Am Scheideweg</t>
  </si>
  <si>
    <t>Sequence Analysis and Related Approaches : Innovative Methods and Applications</t>
  </si>
  <si>
    <t>Ritschard, Gilbert</t>
  </si>
  <si>
    <t>New Frontiers in Social Innovation Research</t>
  </si>
  <si>
    <t>Nicholls, Alex</t>
  </si>
  <si>
    <t>Stoßprobleme in Physik, Technik und Medizin : Grundlagen und Anwendungen</t>
  </si>
  <si>
    <t>Willert, Emanuel</t>
  </si>
  <si>
    <t>Advancing Culture of Living with Landslides : Volume 1 ISDR-ICL Sendai Partnerships 2015-2025</t>
  </si>
  <si>
    <t>Digitalisierung : Bildung, Technik, Innovation</t>
  </si>
  <si>
    <t>System-Aufstellungen und Ihre Naturwissenschaftliche Begründung : Grundlage Für eine Innovative Methode Zur Entscheidungsfindung in der Unternehmensführung</t>
  </si>
  <si>
    <t>Gehlert, Thomas</t>
  </si>
  <si>
    <t>Diversity and Evolution of Butterfly Wing Patterns : An Integrative Approach</t>
  </si>
  <si>
    <t>Sekimura, Toshio</t>
  </si>
  <si>
    <t>Messung Von Ressourceneffizienz Mit der ESSENZ-Methode : Integrierte Methode Zur Ganzheitlichen Bewertung</t>
  </si>
  <si>
    <t>Bach, Vanessa</t>
  </si>
  <si>
    <t>Stochastics of Environmental and Financial Economics : Centre of Advanced Study, Oslo, Norway, 2014-2015</t>
  </si>
  <si>
    <t>Benth, Fred Espen</t>
  </si>
  <si>
    <t>Marginality : Addressing the Nexus of Poverty, Exclusion and Ecology</t>
  </si>
  <si>
    <t>Global History and New Polycentric Approaches : Europe, Asia and the Americas in a World Network System</t>
  </si>
  <si>
    <t>Perez Garcia, Manuel</t>
  </si>
  <si>
    <t>Brain and Human Body Modeling 2020 : Computational Human Models Presented at EMBC 2019 and the BRAIN Initiative® 2019 Meeting</t>
  </si>
  <si>
    <t>Makarov, Sergey N.</t>
  </si>
  <si>
    <t>Internal Crowdsourcing in Companies : Theoretical Foundations and Practical Applications</t>
  </si>
  <si>
    <t>Ulbrich, Hannah</t>
  </si>
  <si>
    <t>Bird Species : How They Arise, Modify and Vanish</t>
  </si>
  <si>
    <t>Tietze, Dieter Thomas</t>
  </si>
  <si>
    <t>Uses of Technology in Upper Secondary Mathematics Education</t>
  </si>
  <si>
    <t>Hegedus, Stephen</t>
  </si>
  <si>
    <t>The Impact of Food Bioactives on Health : In Vitro and Ex Vivo Models</t>
  </si>
  <si>
    <t>Verhoeckx, Kitty</t>
  </si>
  <si>
    <t>The Future Internet : Future Internet Assembly 2011: Achievements and Technological Promises</t>
  </si>
  <si>
    <t>Hamburger Klimabericht - Wissen über Klima, Klimawandel und Auswirkungen in Hamburg und Norddeutschland</t>
  </si>
  <si>
    <t>von Storch, Hans</t>
  </si>
  <si>
    <t>Autonome Shuttlebusse Im ÖPNV : Analysen und Bewertungen Zum Fallbeispiel Bad Birnbach Aus Technischer, Gesellschaftlicher und Planerischer Sicht</t>
  </si>
  <si>
    <t>Riener, Andreas</t>
  </si>
  <si>
    <t>Intel Galileo and Intel Galileo Gen 2 : API Features and Arduino Projects for Linux Programmers</t>
  </si>
  <si>
    <t>Ramon, Manoel</t>
  </si>
  <si>
    <t>Transparenz öffentlicher Einkaufsdaten in Deutschland : Anforderungen und Handlungsfelder Im Kontext Von Open Government</t>
  </si>
  <si>
    <t>Reuter, Britta</t>
  </si>
  <si>
    <t>Error-Correction Coding and Decoding : Bounds, Codes, Decoders, Analysis and Applications</t>
  </si>
  <si>
    <t>Tomlinson, Martin</t>
  </si>
  <si>
    <t>Public Health Ethics: Cases Spanning the Globe</t>
  </si>
  <si>
    <t>H. Barrett, Drue</t>
  </si>
  <si>
    <t>Bridging Educational Leadership, Curriculum Theory and Didaktik : Non-Affirmative Theory of Education</t>
  </si>
  <si>
    <t>Uljens, Michael</t>
  </si>
  <si>
    <t>Governance for Drought Resilience : Land and Water Drought Management in Europe</t>
  </si>
  <si>
    <t>Bressers, Hans</t>
  </si>
  <si>
    <t>Energy Poverty : (Dis)Assembling Europe's Infrastructural Divide</t>
  </si>
  <si>
    <t>Bouzarovski, Stefan</t>
  </si>
  <si>
    <t>Literary Translation in Periodicals : Methodological Challenges for a Transnational Approach</t>
  </si>
  <si>
    <t>Fólica, Laura</t>
  </si>
  <si>
    <t>International Perspectives in Values-Based Mental Health Practice : Case Studies and Commentaries</t>
  </si>
  <si>
    <t>Stoyanov, Drozdstoy</t>
  </si>
  <si>
    <t>The Visigothic Kingdom : The Negotiation of Power in Post-Roman Lberia</t>
  </si>
  <si>
    <t>Panzram, Paulo</t>
  </si>
  <si>
    <t>Organic Bioelectronics for Neurotransmitter Release at the Speed of Life</t>
  </si>
  <si>
    <t>Arbring Sjöström, Theresia</t>
  </si>
  <si>
    <t>Die andere Seite der Intervention : Eine serbische Erfahrungsgeschichte der NATO-Bombardierung 1999</t>
  </si>
  <si>
    <t>Satjukow, Elisa</t>
  </si>
  <si>
    <t>Housing and Human Settlements in a World of Change</t>
  </si>
  <si>
    <t>Ley, Astrid</t>
  </si>
  <si>
    <t>Staatsauftrag: »Kultur für alle« : Ziele, Programme und Wirkungen kultureller Teilhabe und Kulturvermittlung in der DDR</t>
  </si>
  <si>
    <t>Mandel, Birgit</t>
  </si>
  <si>
    <t>Writing Manuals for the Masses : The Rise of the Literary Advice Industry from Quill to Keyboard</t>
  </si>
  <si>
    <t>Masschelein, Anneleen</t>
  </si>
  <si>
    <t>One Hundred Years of Social Protection : The Changing Social Question in Brazil, India, China, and South Africa</t>
  </si>
  <si>
    <t>Leisering, Lutz</t>
  </si>
  <si>
    <t>Design Ethnography : Epistemology and Methodology</t>
  </si>
  <si>
    <t>Müller, Francis</t>
  </si>
  <si>
    <t>P. Y. Galperin's Development of Human Mental Activity : Lectures in Educational Psychology</t>
  </si>
  <si>
    <t>Engeness, Irina</t>
  </si>
  <si>
    <t>Contemporary Family Lifestyles in Central and Western Europe : Selected Cases</t>
  </si>
  <si>
    <t>Kraus, Blahoslav</t>
  </si>
  <si>
    <t>Improving Potassium Recommendations for Agricultural Crops</t>
  </si>
  <si>
    <t>Murrell, T. Scott</t>
  </si>
  <si>
    <t>Model-Based Engineering of Collaborative Embedded Systems : Extensions of the SPES Methodology</t>
  </si>
  <si>
    <t>Böhm, Wolfgang</t>
  </si>
  <si>
    <t>Soziale Arbeit und Sucht : Eine Bestandesaufnahme Aus der Praxis</t>
  </si>
  <si>
    <t>Krebs, Marcel</t>
  </si>
  <si>
    <t>Perceptions of the Independence of Judges in Europe : Congruence of Society and Judiciary</t>
  </si>
  <si>
    <t>van Dijk, Frans</t>
  </si>
  <si>
    <t>The Palgrave Handbook of Digital Russia Studies</t>
  </si>
  <si>
    <t>Gritsenko, Daria</t>
  </si>
  <si>
    <t>The Palgrave Handbook of Family Policy</t>
  </si>
  <si>
    <t>Nieuwenhuis, Rense</t>
  </si>
  <si>
    <t>What Works in Conservation 2020</t>
  </si>
  <si>
    <t>Terrestrial Mammal Conservation : Global Evidence for the Effects of Interventions for Terrestrial Mammals Excluding Bats and Primates</t>
  </si>
  <si>
    <t>Littlewood, Nick A.</t>
  </si>
  <si>
    <t>Mendl Mann's 'the Fall of Berlin'</t>
  </si>
  <si>
    <t>Global Warming in Local Discourses : How Communities Around the World Make Sense of Climate Change</t>
  </si>
  <si>
    <t>Brüggemann, Michael</t>
  </si>
  <si>
    <t>Die Phonetik Von äh Und ähm : Akustische Variation Von Füllpartikeln Im Deutschen</t>
  </si>
  <si>
    <t>Belz, Malte</t>
  </si>
  <si>
    <t>2050 China : Becoming a Great Modern Socialist Country</t>
  </si>
  <si>
    <t>Hu, Angang</t>
  </si>
  <si>
    <t>Interacting with Biological Membranes Using Organic Electronic Devices</t>
  </si>
  <si>
    <t>Nissa, Josefin</t>
  </si>
  <si>
    <t>Vulnerability and Risk Analysis Methods and Application in Large Scale Development of Secure Systems</t>
  </si>
  <si>
    <t>Ardi, Shanai</t>
  </si>
  <si>
    <t>Adoptivfamiljers återresor till Barnens Födelseländer</t>
  </si>
  <si>
    <t>Gustafsson, Johanna</t>
  </si>
  <si>
    <t>Bystander Behaviors in Peer Victimization : Associations with Moral Disengagement, Efficacy Beliefs, and Student-Teacher Relationship Quality</t>
  </si>
  <si>
    <t>Sjögren, Bjö</t>
  </si>
  <si>
    <t>Exercise Training and Testing in Patients with Heart Failure</t>
  </si>
  <si>
    <t>Lans, Charlotta</t>
  </si>
  <si>
    <t>Participation and ICT : Students with Special Educational Needs in Upper Secondary School</t>
  </si>
  <si>
    <t>Yngve, Moa</t>
  </si>
  <si>
    <t>On the Other Side of Change : Exploring the Role That Design Can Play in Retaining Sustainable Doings</t>
  </si>
  <si>
    <t>Chu, Wanjun</t>
  </si>
  <si>
    <t>Machine Learning for Cyber Physical Systems : Selected Papers from the International Conference ML4CPS 2020</t>
  </si>
  <si>
    <t>Beyerer, Jürgen</t>
  </si>
  <si>
    <t>Projekt- und Teamarbeit in der Digitalisierten Arbeitswelt : Herausforderungen, Strategien und Empfehlungen</t>
  </si>
  <si>
    <t>Von Bauingenieurinnen und Sozialarbeitern : Studien(fach)wahlen Im Kontext Von Sozialem Milieu und Geschlecht</t>
  </si>
  <si>
    <t>Loge, Lena</t>
  </si>
  <si>
    <t>Loneliness and Dying As Issues of Public Concern in Sweden</t>
  </si>
  <si>
    <t>Ågren, Axel</t>
  </si>
  <si>
    <t>Simulation Modelling of a Shift to Service-Based Offerings : Resource Efficiency and Operational Implications in the Context of the Circular Economy</t>
  </si>
  <si>
    <t>Wasserbaur, Raphael</t>
  </si>
  <si>
    <t>Point of Reckoning : The Fight for Racial Justice at Duke University</t>
  </si>
  <si>
    <t>Segal, Theodore D.</t>
  </si>
  <si>
    <t>Next Generation Supply Chains : A Roadmap for Research and Innovation</t>
  </si>
  <si>
    <t>Fornasiero, Rosanna</t>
  </si>
  <si>
    <t>World Class Universities : A Contested Concept</t>
  </si>
  <si>
    <t>Rider, Sharon</t>
  </si>
  <si>
    <t>Safety for Particle Accelerators</t>
  </si>
  <si>
    <t>Otto, Thomas</t>
  </si>
  <si>
    <t>Internationale Zielmarktanalyse und Vertriebsentwicklung : Die Implementierung der Methodik des International Sales Accelerator Modells</t>
  </si>
  <si>
    <t>Reber geb. Wiesenauer, Simone</t>
  </si>
  <si>
    <t>The Evolutionary Dynamics of Discursive Knowledge : Communication-Theoretical Perspectives on an Empirical Philosophy of Science</t>
  </si>
  <si>
    <t>Leydesdorff, Loet</t>
  </si>
  <si>
    <t>Toward ICT-Enabled Co-production for Effective Crisis and Emergency Response</t>
  </si>
  <si>
    <t>Ramsell, Elina</t>
  </si>
  <si>
    <t>Babies' Engagements with Everyday Things : An Ethnographic Study of Materiality, Movement and Participation</t>
  </si>
  <si>
    <t>Orrmalm, Alex</t>
  </si>
  <si>
    <t>Monolingual Policy, Bilingual Interaction : English-Taught Education in Bangladesh</t>
  </si>
  <si>
    <t>Huq, Rizwan-Ul</t>
  </si>
  <si>
    <t>Skills in Rheumatology</t>
  </si>
  <si>
    <t>Almoallim, Hani</t>
  </si>
  <si>
    <t>Digital Transformation of Learning Organizations</t>
  </si>
  <si>
    <t>Defending Checks and Balances in EU Member States : Taking Stock of Europe's Actions</t>
  </si>
  <si>
    <t>von Bogdandy, Armin</t>
  </si>
  <si>
    <t>GDPR and Biobanking : Individual Rights, Public Interest and Research Regulation Across Europe</t>
  </si>
  <si>
    <t>Slokenberga, Santa</t>
  </si>
  <si>
    <t>The Japanese Banking Crisis</t>
  </si>
  <si>
    <t>Himino, Ryozo</t>
  </si>
  <si>
    <t>Parenting and Work in Poland : A Gender Studies Perspective</t>
  </si>
  <si>
    <t>Suwada, Katarzyna</t>
  </si>
  <si>
    <t>Experimenting for Change? : The Politics of Accomplishing Environmental Governance Through Smart Energy Pilot Projects</t>
  </si>
  <si>
    <t>Envall, Fredrik</t>
  </si>
  <si>
    <t>Patients with Subacromial Pain in Primary Care : Assessment and Efficacy of Physiotherapy-Guided Exercise Treatment</t>
  </si>
  <si>
    <t>Nordqvist, Jenny</t>
  </si>
  <si>
    <t>Enhancing Smallholder Farmers' Access to Seed of Improved Legume Varieties Through Multi-Stakeholder Platforms : Learning from the TLIII Project Experiences in Sub-Saharan Africa and South Asia</t>
  </si>
  <si>
    <t>Akpo, Essegbemon</t>
  </si>
  <si>
    <t>The Science of Citizen Science</t>
  </si>
  <si>
    <t>Vohland, Katrin</t>
  </si>
  <si>
    <t>Howard Jacobson</t>
  </si>
  <si>
    <t>Brauner, David</t>
  </si>
  <si>
    <t>Organic Creativity and the Physics Within</t>
  </si>
  <si>
    <t>Lowcre, Mea M. M.</t>
  </si>
  <si>
    <t>The Image of Africa in Ghana's Press : The Influence of Global News Organisations</t>
  </si>
  <si>
    <t>Serwornoo, Michael</t>
  </si>
  <si>
    <t>Photography in the Third Reich : Art, Physiognomy and Propaganda</t>
  </si>
  <si>
    <t>Webster, Christopher</t>
  </si>
  <si>
    <t>Information and Communication Technologies in Tourism 2021 : Proceedings of the ENTER 2021 ETourism Conference, January 19-22 2021</t>
  </si>
  <si>
    <t>Wörndl, Wolfgang</t>
  </si>
  <si>
    <t>Clinical Pathways in Stroke Rehabilitation : Evidence-Based Clinical Practice Recommendations</t>
  </si>
  <si>
    <t>Platz, Thomas</t>
  </si>
  <si>
    <t>Security of Ubiquitous Computing Systems : Selected Topics</t>
  </si>
  <si>
    <t>Avoine, Gildas</t>
  </si>
  <si>
    <t>Knowledge for Governance</t>
  </si>
  <si>
    <t>Textbook of Patient Safety and Clinical Risk Management</t>
  </si>
  <si>
    <t>Donaldson, Liam</t>
  </si>
  <si>
    <t>Emancipation's Daughters : Reimagining Black Femininity and the National Body</t>
  </si>
  <si>
    <t>Richardson, Riché</t>
  </si>
  <si>
    <t>Analysis and Optimization for Robust Millimeter-Wave Communications</t>
  </si>
  <si>
    <t>Tatino, Cristian</t>
  </si>
  <si>
    <t>Treatment Planning of High Dose-Rate Brachytherapy - Mathematical Modelling and Optimization</t>
  </si>
  <si>
    <t>Morén, Bjö</t>
  </si>
  <si>
    <t>Cyber Security : 17th China Annual Conference, CNCERT 2020, Beijing, China, August 12, 2020, Revised Selected Papers</t>
  </si>
  <si>
    <t>Lu, Wei</t>
  </si>
  <si>
    <t>Building Better Interfaces for Remote Autonomous Systems : An Introduction for Systems Engineers</t>
  </si>
  <si>
    <t>Oury, Jacob D.</t>
  </si>
  <si>
    <t>Climate Risk in Africa : Adaptation and Resilience</t>
  </si>
  <si>
    <t>Conway, Declan</t>
  </si>
  <si>
    <t>Swiss Democracy : Possible Solutions to Conflict in Multicultural Societies</t>
  </si>
  <si>
    <t>Linder, Wolf</t>
  </si>
  <si>
    <t>Zusammenwirken Von Natürlicher und Künstlicher Intelligenz</t>
  </si>
  <si>
    <t>Haux, Reinhold</t>
  </si>
  <si>
    <t>Equity, Equality and Diversity in the Nordic Model of Education</t>
  </si>
  <si>
    <t>ønes, Tove Stjern</t>
  </si>
  <si>
    <t>Doktor Faustus (ver-)stimmen : Kompositionen Zu Thomas Manns Roman</t>
  </si>
  <si>
    <t>Olivari, Anna Maria</t>
  </si>
  <si>
    <t>Professoren Mit Migrationshintergrund : Benachteiligte Minderheit Oder Protagonisten Internationaler Exzellenz</t>
  </si>
  <si>
    <t>Engel, Ole</t>
  </si>
  <si>
    <t>Expatriates und Freiwilliges Engagement in der Schweiz : Eine Qualitative Analyse Im Kanton Zug</t>
  </si>
  <si>
    <t>Störkle, Mario</t>
  </si>
  <si>
    <t>Learning from Experience : The Use of Structured Video-Assisted Debriefing among Nursing Students</t>
  </si>
  <si>
    <t>Zhang, Hui</t>
  </si>
  <si>
    <t>Wireless Bioelectronic Devices Driven by Deep Red Light</t>
  </si>
  <si>
    <t>Jakesová, Marie</t>
  </si>
  <si>
    <t>Looking into the Future : How to Use Advanced Statistical Methods for Predicting Psychotherapy Outcomes in Routine Care</t>
  </si>
  <si>
    <t>Uckelstam, Carl-Johan</t>
  </si>
  <si>
    <t>Synthesis and Characterization of Transition Metal Diborides</t>
  </si>
  <si>
    <t>Thörnberg, Jimmy</t>
  </si>
  <si>
    <t>Surgery and Stomas in Crohn's Disease</t>
  </si>
  <si>
    <t>Kalman, Thordis Disa</t>
  </si>
  <si>
    <t>On Knowledge Creation and Learning at the Intersection of Product Development and Engineering Education</t>
  </si>
  <si>
    <t>Hallberg, Peter</t>
  </si>
  <si>
    <t>The Marvels Found in the Great Cities and in the Seas and on the Islands : A Representative of 'aǧā'ib Literature in Syriac</t>
  </si>
  <si>
    <t>Minov, Sergey</t>
  </si>
  <si>
    <t>'the Philosophes' by Charles Palissot</t>
  </si>
  <si>
    <t>Goodman, Jessica</t>
  </si>
  <si>
    <t>Studies in the Grammar and Lexicon of Neo-Aramaic</t>
  </si>
  <si>
    <t>Acoustemologies in Contact : Sounding Subjects and Modes of Listening in Early Modernity</t>
  </si>
  <si>
    <t>Wilbourne, Emily</t>
  </si>
  <si>
    <t>Embedded System Design : Embedded Systems Foundations of Cyber-Physical Systems, and the Internet of Things</t>
  </si>
  <si>
    <t>Marwedel, Peter</t>
  </si>
  <si>
    <t>New Living Cases on Corporate Governance</t>
  </si>
  <si>
    <t>Hilb, Martin</t>
  </si>
  <si>
    <t>Proceedings of the 2020 DigitalFUTURES : The 2nd International Conference on Computational Design and Robotic Fabrication (CDRF 2020)</t>
  </si>
  <si>
    <t>Yuan, Philip F.</t>
  </si>
  <si>
    <t>The Leading World's Most Innovative Universities</t>
  </si>
  <si>
    <t>AI-Youbi, Abdulrahman Obaid</t>
  </si>
  <si>
    <t>Public Administration in Germany</t>
  </si>
  <si>
    <t>Kuhlmann, Sabine</t>
  </si>
  <si>
    <t>The Seine River Basin</t>
  </si>
  <si>
    <t>Flipo, Nicolas</t>
  </si>
  <si>
    <t>Measuring Emission of Agricultural Greenhouse Gases and Developing Mitigation Options Using Nuclear and Related Techniques : Applications of Nuclear Techniques for GHGs</t>
  </si>
  <si>
    <t>Decision Science for Future Earth : Theory and Practice</t>
  </si>
  <si>
    <t>Yahara, Tetsukazu</t>
  </si>
  <si>
    <t>Making Science Come Alive : Student-Generated Stop-motion Animations in Science Education</t>
  </si>
  <si>
    <t>Orraryd, Daniel</t>
  </si>
  <si>
    <t>Mechanical Properties of Arteries : An in Vivo Parameter Identification Method</t>
  </si>
  <si>
    <t>Gade, Jan-Lucas</t>
  </si>
  <si>
    <t>Frontiers of Real Estate Science in Japan</t>
  </si>
  <si>
    <t>Asami, Yasushi</t>
  </si>
  <si>
    <t>Invasive Species in Forests and Rangelands of the United States : A Comprehensive Science Synthesis for the United States Forest Sector</t>
  </si>
  <si>
    <t>Poland, Therese M.</t>
  </si>
  <si>
    <t>Maternal Overweight and Obesity : Impact on Obstetric Outcomes in Adolescents and Oxytocin in Labor</t>
  </si>
  <si>
    <t>Ramö Isgren, Anna</t>
  </si>
  <si>
    <t>Testosterone Use and Abuse : Methodological Aspects in Forensic Toxicology and Clinical Diagnostics</t>
  </si>
  <si>
    <t>Lood, Yvonne</t>
  </si>
  <si>
    <t>Physical Disability and Sexuality : Stories from South Africa</t>
  </si>
  <si>
    <t>Hunt, Xanthe</t>
  </si>
  <si>
    <t>Die Wirtschaft Im Wandel : Innovation, Soziale Sicherheit, und Wohlfahrt</t>
  </si>
  <si>
    <t>Smart and Sustainable Planning for Cities and Regions : Results of SSPCR 2019--Open Access Contributions</t>
  </si>
  <si>
    <t>Bisello, Adriano</t>
  </si>
  <si>
    <t>Jane Austen : Reflections of a Reader</t>
  </si>
  <si>
    <t>Bartlett, Nora</t>
  </si>
  <si>
    <t>Social and Economic Vulnerability of Roma People : Key Factors for the Success and Continuity of Schooling Levels</t>
  </si>
  <si>
    <t>Mendes, Maria Manuela</t>
  </si>
  <si>
    <t>The Future of Service Post-COVID-19 Pandemic, Volume 1 : Rapid Adoption of Digital Service Technology</t>
  </si>
  <si>
    <t>Lee, Jungwoo</t>
  </si>
  <si>
    <t>Mnemonic Solidarity : Global Interventions</t>
  </si>
  <si>
    <t>Lim, Jie-Hyun</t>
  </si>
  <si>
    <t>Öffentliche Mobilität : Voraussetzungen Für eine Menschengerechte Verkehrsplanung</t>
  </si>
  <si>
    <t>Schwedes, Oliver</t>
  </si>
  <si>
    <t>Anisotropy Across Fields and Scales</t>
  </si>
  <si>
    <t>Özarslan, Evren</t>
  </si>
  <si>
    <t>Robotics, AI, and Humanity : Science, Ethics, and Policy</t>
  </si>
  <si>
    <t>Color Centers in Semiconductors for Quantum Applications : A High-Throughput Search of Point Defects in SiC</t>
  </si>
  <si>
    <t>Davidsson, Joel</t>
  </si>
  <si>
    <t>Fiktion Genom Två Medier : En Studie Om Gymnasieelevers Menings-Skapande Utifrån Hjalmar Söderbergs Novell Pälsen Och Dess Adaption till Film</t>
  </si>
  <si>
    <t>Wessbo, Simon</t>
  </si>
  <si>
    <t>Lifestyle in Siberia and the Russian North</t>
  </si>
  <si>
    <t>Habeck, Joachim Otto</t>
  </si>
  <si>
    <t>Decolonising Blue Spaces in the Anthropocene : Freshwater Management in Aotearoa New Zealand</t>
  </si>
  <si>
    <t>Parsons, Meg</t>
  </si>
  <si>
    <t>Oral and Maxillofacial Surgery for the Clinician</t>
  </si>
  <si>
    <t>Bonanthaya, Krishnamurthy</t>
  </si>
  <si>
    <t>A Buddhist Approach to International Relations : Radical Interdependence</t>
  </si>
  <si>
    <t>Long, William J.</t>
  </si>
  <si>
    <t>Quality Management and Accreditation in Hematopoietic Stem Cell Transplantation and Cellular Therapy : The JACIE Guide</t>
  </si>
  <si>
    <t>Aljurf, Mahmoud</t>
  </si>
  <si>
    <t>Crossing the Threshold : Visualization Design and Conceptual Understanding of Evolution</t>
  </si>
  <si>
    <t>Göransson, Andreas C.</t>
  </si>
  <si>
    <t>Optics of Conducting Polymer Thin Films and Nanostructures</t>
  </si>
  <si>
    <t>Chen, Shangzhi</t>
  </si>
  <si>
    <t>Uncharted Waters : Non-Target Analysis of Disinfection by-products in Drinking Water</t>
  </si>
  <si>
    <t>Andersson, Anna</t>
  </si>
  <si>
    <t>Das ökonomische Laboratop : Eine Soziologische Ethnographie des Wirtschaftswissenschaftlichen Experimentierens</t>
  </si>
  <si>
    <t>Haus, Juliane</t>
  </si>
  <si>
    <t>Like Nobody's Business : An Insider's Guide to How US University Finances Really Work</t>
  </si>
  <si>
    <t>Comrie, Andrew C.</t>
  </si>
  <si>
    <t>The Future European Energy System : Renewable Energy, Flexibility Options and Technological Progress</t>
  </si>
  <si>
    <t>Möst, Dominik</t>
  </si>
  <si>
    <t>Death Rights : Romantic Suicide, Race, and the Bounds of Liberalism</t>
  </si>
  <si>
    <t>Koretsky, Deanna P.</t>
  </si>
  <si>
    <t>Just Know It : The Role of Explicit Knowledge in Internet-Based Cognitive Behaviour Therapy for Adolescents</t>
  </si>
  <si>
    <t>Berg, Matilda</t>
  </si>
  <si>
    <t>It's about Time : User-Centered Evaluation of Visual Representations for Temporal Data</t>
  </si>
  <si>
    <t>Akram Hassan, Kahin</t>
  </si>
  <si>
    <t>Assessments and Risk Factors for Falls in Persons with Acute Stroke</t>
  </si>
  <si>
    <t>Sjöholm, Hanna</t>
  </si>
  <si>
    <t>Boundary Value Problems for Nonlinear Elliptic Equations in Divergence Form</t>
  </si>
  <si>
    <t>Mwasa, Abubakar</t>
  </si>
  <si>
    <t>Reading Prehistoric Human Tracks : Methods and Material</t>
  </si>
  <si>
    <t>Pastoors, Andreas</t>
  </si>
  <si>
    <t>Authority and Trust in US Culture and Society : Interdisciplinary Approaches and Perspectives</t>
  </si>
  <si>
    <t>Leypoldt, Günter</t>
  </si>
  <si>
    <t>A ›Crisis of Whiteness‹ in the ›Heart of Darkness‹ : Racism and the Congo Reform Movement</t>
  </si>
  <si>
    <t>Lösing, Felix</t>
  </si>
  <si>
    <t>More Than Machines? : The Attribution of (In)Animacy to Robot Technology</t>
  </si>
  <si>
    <t>Voss, Laura</t>
  </si>
  <si>
    <t>Körper, Leistung, Selbstdarstellung : Medienaneignung jugendlicher Zuschauerinnen von Germany's Next Topmodel</t>
  </si>
  <si>
    <t>Schurzmann-Leder, Lena</t>
  </si>
  <si>
    <t>What Is Authorial Philology?</t>
  </si>
  <si>
    <t>Italia, Paola</t>
  </si>
  <si>
    <t>Social Work, Sociometry, and Psychodrama : Experiential Approaches for Group Therapists, Community Leaders, and Social Workers</t>
  </si>
  <si>
    <t>Giacomucci, Scott</t>
  </si>
  <si>
    <t>Arbeit in der Digitalisierten Welt : Praxisbeispiele und Gestaltungslösungen Aus Dem BMBF-Förderschwerpunkt</t>
  </si>
  <si>
    <t>Bauer, Wilhelm</t>
  </si>
  <si>
    <t>Special Topics in Information Technology</t>
  </si>
  <si>
    <t>Geraci, Angelo</t>
  </si>
  <si>
    <t>Pattern Recognition, Tracking and Vertex Reconstruction in Particle Detectors</t>
  </si>
  <si>
    <t>ühwirth, Rudolf</t>
  </si>
  <si>
    <t>Northern Lights on Civic and Citizenship Education : A Cross-National Comparison of Nordic Data from ICCS</t>
  </si>
  <si>
    <t>Biseth, Heidi</t>
  </si>
  <si>
    <t>The Other/Argentina : Jews, Gender, and Sexuality in the Making of a Modern Nation</t>
  </si>
  <si>
    <t>Kaminsky, Amy K.</t>
  </si>
  <si>
    <t>The Data Shake : Opportunities and Obstacles for Urban Policy Making</t>
  </si>
  <si>
    <t>Concilio, Grazia</t>
  </si>
  <si>
    <t>Public Actors in International Investment Law</t>
  </si>
  <si>
    <t>Titi, Catharine</t>
  </si>
  <si>
    <t>Von Alternativen Paradigmen Zur Umfassenden Transformation : Analyse Transformativer Forschungsprojekte Anhand des Diskursiven Institutionalismus</t>
  </si>
  <si>
    <t>Schleicher, Katharina</t>
  </si>
  <si>
    <t>Solar Energetic Particles : A Modern Primer on Understanding Sources, Acceleration and Propagation</t>
  </si>
  <si>
    <t>Reames, Donald V.</t>
  </si>
  <si>
    <t>Recovering Civility During COVID-19</t>
  </si>
  <si>
    <t>Bonotti, Matteo</t>
  </si>
  <si>
    <t>Digital Business : Analysen und Handlungsfelder in der Praxis</t>
  </si>
  <si>
    <t>Das Internet der Dinge Für Bildung Nutzbar Machen : Gestaltung Von Smart Learning Environments Auf Basis Eines Interdisziplinären Diskurses</t>
  </si>
  <si>
    <t>Freigang, Sirkka</t>
  </si>
  <si>
    <t>Revitalizing Indian Agriculture and Boosting Farmer Incomes</t>
  </si>
  <si>
    <t>Gulati, Ashok</t>
  </si>
  <si>
    <t>Insurance Distribution Directive : A Legal Analysis</t>
  </si>
  <si>
    <t>Marano, Pierpaolo</t>
  </si>
  <si>
    <t>Wechselwirkungen Zwischen Landnutzung und Klimawandel</t>
  </si>
  <si>
    <t>Gömann, Horst</t>
  </si>
  <si>
    <t>Innovative Learning Environments in STEM Higher Education : Opportunities, Challenges, and Looking Forward</t>
  </si>
  <si>
    <t>Ryoo, Jungwoo</t>
  </si>
  <si>
    <t>70 Years of Levothyroxine</t>
  </si>
  <si>
    <t>Kahaly, George J.</t>
  </si>
  <si>
    <t>Health Promotion in Health Care - Vital Theories and Research</t>
  </si>
  <si>
    <t>Haugan, Gørill</t>
  </si>
  <si>
    <t>Indikatoren Für Die Messung Von Forschung, Entwicklung und Innovation : Steckbriefe Mit Hinweisen Zur Anwendung</t>
  </si>
  <si>
    <t>Kladroba, Andreas</t>
  </si>
  <si>
    <t>Digital Servitization : Organizing the Firm and Working with the Ecosystem</t>
  </si>
  <si>
    <t>Sklyar, Alexey</t>
  </si>
  <si>
    <t>Aesthetic Flexibility : In Industrial Design Practice</t>
  </si>
  <si>
    <t>Andersson, Torbjö</t>
  </si>
  <si>
    <t>Graph Structures for Knowledge Representation and Reasoning : 6th International Workshop, GKR 2020, Virtual Event, September 5, 2020, Revised Selected Papers</t>
  </si>
  <si>
    <t>Cochez, Michael</t>
  </si>
  <si>
    <t>Gefragt durch Andere : Über digitale Vernetzung, Wertschöpfung, Pathos &amp; Identität</t>
  </si>
  <si>
    <t>Helfritzsch, Paul</t>
  </si>
  <si>
    <t>Doing Journeys - Transatlantische Reisen von Lateinamerika nach Europa schreiben, 1839-1910</t>
  </si>
  <si>
    <t>Riettiens, Lilli</t>
  </si>
  <si>
    <t>Euthanasia: Searching for the Full Story : Experiences and Insights of Belgian Doctors and Nurses</t>
  </si>
  <si>
    <t>Devos, Timothy</t>
  </si>
  <si>
    <t>Artificial Intelligence for a Better Future : An Ecosystem Perspective on the Ethics of AI and Emerging Digital Technologies</t>
  </si>
  <si>
    <t>Stahl, Bernd Carsten</t>
  </si>
  <si>
    <t>Romanticism and Time : Literary Temporalities</t>
  </si>
  <si>
    <t>Laniel-Musitelli, Sophie</t>
  </si>
  <si>
    <t>Arab Media Systems</t>
  </si>
  <si>
    <t>Richter, Carola</t>
  </si>
  <si>
    <t>Tools and Algorithms for the Construction and Analysis of Systems : 27th International Conference, TACAS 2021, Held As Part of the European Joint Conferences on Theory and Practice of Software, ETAPS 2021, Luxembourg City, Luxembourg, March 27 - April 1, 2021, Proceedings, Part I</t>
  </si>
  <si>
    <t>Groote, Jan Friso</t>
  </si>
  <si>
    <t>The Politics of Diversity in Music Education</t>
  </si>
  <si>
    <t>Kallio, Alexis Anja</t>
  </si>
  <si>
    <t>Trauma and Resilience among Displaced Populations : A Sociocultural Exploration</t>
  </si>
  <si>
    <t>Theisen-Womersley, Gail</t>
  </si>
  <si>
    <t>Fundamental Approaches to Software Engineering : 24th International Conference, FASE 2021, Held As Part of the European Joint Conferences on Theory and Practice of Software, ETAPS 2021, Luxembourg City, Luxembourg, March 27 - April 1, 2021, Proceedings</t>
  </si>
  <si>
    <t>Guerra, Esther</t>
  </si>
  <si>
    <t>Cultural Governance : Legitimation und Steuerung in Den Darstellenden Künsten</t>
  </si>
  <si>
    <t>Accelerating Digitalization : Chancen der Digitalisierung Erkennen und Nutzen</t>
  </si>
  <si>
    <t>Proff, Harald</t>
  </si>
  <si>
    <t>Exploiting Direct Optimal Control for Motion Planning in Unstructured Environments</t>
  </si>
  <si>
    <t>Bergman, Kristoffer</t>
  </si>
  <si>
    <t>Parameterized Verification of Synchronized Concurrent Programs</t>
  </si>
  <si>
    <t>Ganjei, Zeinab</t>
  </si>
  <si>
    <t>Textbook on Scar Management : State of the Art Management and Emerging Technologies</t>
  </si>
  <si>
    <t>Téot, Luc</t>
  </si>
  <si>
    <t>The Life and Afterlife of Gay Neighborhoods : Renaissance and Resurgence</t>
  </si>
  <si>
    <t>Bitterman, Alex</t>
  </si>
  <si>
    <t>E-Science : Open, Social and Virtual Technology for Research Collaboration</t>
  </si>
  <si>
    <t>Koschtial, Claudia</t>
  </si>
  <si>
    <t>The New Common : How the COVID-19 Pandemic Is Transforming Society</t>
  </si>
  <si>
    <t>Aarts, Emile</t>
  </si>
  <si>
    <t>Accelerator-Driven System at Kyoto University Critical Assembly</t>
  </si>
  <si>
    <t>Pyeon, Cheol Ho</t>
  </si>
  <si>
    <t>The Impact of Individual Expertise and Public Information on Group Decision-Making</t>
  </si>
  <si>
    <t>Strunz, Ulrich G.</t>
  </si>
  <si>
    <t>Global History with Chinese Characteristics : Autocratic States along the Silk Road in the Decline of the Spanish and Qing Empires 1680-1796</t>
  </si>
  <si>
    <t>Perez-Garcia, Manuel</t>
  </si>
  <si>
    <t>Magnetism and Accelerator-Based Light Sources : Proceedings of the 7th International School ''Synchrotron Radiation and Magnetism'', Mittelwihr (France) 2018</t>
  </si>
  <si>
    <t>Bulou, Hervé</t>
  </si>
  <si>
    <t>Berufliche Orientierung Zwischen Heterogenität und Individualisierung : Beschreibung, Messung und Konsequenzen Zur Individuellen Förderung in Schule</t>
  </si>
  <si>
    <t>Ohlemann, Svenja</t>
  </si>
  <si>
    <t>Die Grenzen der EU : Europäische Integration, ,,Schengen und Die Kontrolle der Migration</t>
  </si>
  <si>
    <t>Oltmer, Jochen</t>
  </si>
  <si>
    <t>Data Technology in Materials Modelling</t>
  </si>
  <si>
    <t>Horsch, Martin Thomas</t>
  </si>
  <si>
    <t>Foundations of Software Science and Computation Structures : 24th International Conference, FOSSACS 2021, Held As Part of the European Joint Conferences on Theory and Practice of Software, ETAPS 2021, Luxembourg City, Luxembourg, March 27 - April 1, 2021, Proceedings</t>
  </si>
  <si>
    <t>Kiefer, Stefan</t>
  </si>
  <si>
    <t>Tools and Algorithms for the Construction and Analysis of Systems : 27th International Conference, TACAS 2021, Held As Part of the European Joint Conferences on Theory and Practice of Software, ETAPS 2021, Luxembourg City, Luxembourg, March 27 - April 1, 2021, Proceedings, Part II</t>
  </si>
  <si>
    <t>Community and Identity in Contemporary Technosciences</t>
  </si>
  <si>
    <t>Kastenhofer, Karen</t>
  </si>
  <si>
    <t>Programming Languages and Systems : 30th European Symposium on Programming, ESOP 2021, Held As Part of the European Joint Conferences on Theory and Practice of Software, ETAPS 2021, Luxembourg City, Luxembourg, March 27 - April 1, 2021, Proceedings</t>
  </si>
  <si>
    <t>Yoshida, Nobuko</t>
  </si>
  <si>
    <t>Open Skies : The National Radio Astronomy Observatory and Its Impact on US Radio Astronomy</t>
  </si>
  <si>
    <t>Kellermann, Kenneth I.</t>
  </si>
  <si>
    <t>Quantum Computing for the Quantum Curious</t>
  </si>
  <si>
    <t>Hughes, Ciaran</t>
  </si>
  <si>
    <t>Introduction to Epigenetics</t>
  </si>
  <si>
    <t>Paro, Renato</t>
  </si>
  <si>
    <t>Firm Competitive Advantage Through Relationship Management : A Theory for Successful Sustainable Growth</t>
  </si>
  <si>
    <t>Deszczyński, Bartosz</t>
  </si>
  <si>
    <t>Macht Arbeit Frei? : German Economic Policy and Forced Labor of Jews in the General Government, 1939-1943</t>
  </si>
  <si>
    <t>Gendered Violence : Jewish Women in the Pogroms of 1917 To 1921</t>
  </si>
  <si>
    <t>Astashkevich, Irina</t>
  </si>
  <si>
    <t>Gone to Pitchipoi : A Boy's Desperate Fight for Survival in Wartime</t>
  </si>
  <si>
    <t>Katz, Rubin</t>
  </si>
  <si>
    <t>Trajectory Planning for an Autonomous Vehicle in Multi-Vehicle Traffic Scenarios</t>
  </si>
  <si>
    <t>Morsali, Mahdi</t>
  </si>
  <si>
    <t>Radioluminescence : A Simple Model for Fluorescent Layers - Analysis and Applications</t>
  </si>
  <si>
    <t>Lindström, Jan</t>
  </si>
  <si>
    <t>A Good Death from the Perspective of Patients with Severe Illness and Advance Care Planning (ACP) in Patients near End-Of-life</t>
  </si>
  <si>
    <t>Kastbom, Lisa</t>
  </si>
  <si>
    <t>Krankenhaus-Report 2021 : Versorgungsketten - der Patient Im Mittelpunkt</t>
  </si>
  <si>
    <t>Accounting and Statistical Analyses for Sustainable Development : Multiple Perspectives and Information-Theoretic Complexity Reduction</t>
  </si>
  <si>
    <t>Lemke, Claudia</t>
  </si>
  <si>
    <t>Urban Socio-Economic Segregation and Income Inequality : A Global Perspective</t>
  </si>
  <si>
    <t>van Ham, Maarten</t>
  </si>
  <si>
    <t>The Fundamental Elements of Strategy : Concepts, Theories and Cases</t>
  </si>
  <si>
    <t>Yu, Xiu-bao</t>
  </si>
  <si>
    <t>Arts and Health Promotion : Tools and Bridges for Practice, Research, and Social Transformation</t>
  </si>
  <si>
    <t>Corbin, J. Hope</t>
  </si>
  <si>
    <t>Entertainment-Education Behind the Scenes : Case Studies for Theory and Practice</t>
  </si>
  <si>
    <t>Frank, Lauren B.</t>
  </si>
  <si>
    <t>Towards a Natural Social Contract : Transformative Social-Ecological Innovation for a Sustainable, Healthy and Just Society</t>
  </si>
  <si>
    <t>Huntjens, Patrick</t>
  </si>
  <si>
    <t>Social Exclusion in Later Life : Interdisciplinary and Policy Perspectives</t>
  </si>
  <si>
    <t>Walsh, Kieran</t>
  </si>
  <si>
    <t>Taxation, International Cooperation and the 2030 Sustainable Development Agenda</t>
  </si>
  <si>
    <t>Mosquera Valderrama, Irma Johanna</t>
  </si>
  <si>
    <t>Sprachliche Variationen Von Mathematischen Textaufgaben : Entwicklung Eines Instruments Zur Textanpassung Für Textaufgaben Im Mathematikunterricht</t>
  </si>
  <si>
    <t>Bednorz, David</t>
  </si>
  <si>
    <t>Napoleonic Governance in the Netherlands and Northwest Germany : Conquest, Incorporation, and Integration</t>
  </si>
  <si>
    <t>van der Burg, Martijn</t>
  </si>
  <si>
    <t>Polarimetric Synthetic Aperture Radar : Principles and Application</t>
  </si>
  <si>
    <t>Hajnsek, Irena</t>
  </si>
  <si>
    <t>Dialogue for Intercultural Understanding : Placing Cultural Literacy at the Heart of Learning</t>
  </si>
  <si>
    <t>Maine, Fiona</t>
  </si>
  <si>
    <t>Der Deutschsprachige Nachkriegsroman und Die Tradition des Unzuverlässigen Erzählens</t>
  </si>
  <si>
    <t>Aumüller, Matthias</t>
  </si>
  <si>
    <t>GeomInt-Mechanical Integrity of Host Rocks</t>
  </si>
  <si>
    <t>Kolditz, Olaf</t>
  </si>
  <si>
    <t>Smart Technologies for Precision Assembly : 9th IFIP WG 5. 5 International Precision Assembly Seminar, IPAS 2020, Virtual Event, December 14-15, 2020, Revised Selected Papers</t>
  </si>
  <si>
    <t>Ratchev, Svetan</t>
  </si>
  <si>
    <t>Overlapping Neural Substrates of Alcohol- and Anxiety-Related Behavior in the Rat</t>
  </si>
  <si>
    <t>Barchiesi, Riccardo</t>
  </si>
  <si>
    <t>Wiki Writing : Collaborative Learning in the College Classroom</t>
  </si>
  <si>
    <t>Barton, Matthew</t>
  </si>
  <si>
    <t>Kinship and History in South Asia : Four Lectures</t>
  </si>
  <si>
    <t>University of Michigan, Center for South &amp; Southeast Asian Studies</t>
  </si>
  <si>
    <t>Trautmann, Thomas R.</t>
  </si>
  <si>
    <t>The Cultural Revolution : 1967 in Review</t>
  </si>
  <si>
    <t>Center for Chinese Studies Publications</t>
  </si>
  <si>
    <t>Oksenberg, Michel</t>
  </si>
  <si>
    <t>An Annotated Bibliography of Chinese Painting Catalogues and Related Texts</t>
  </si>
  <si>
    <t>Lovell, Hin-cheung</t>
  </si>
  <si>
    <t>The Economy of Communist China, 1949-1969</t>
  </si>
  <si>
    <t>Cheng, Chu-yuan</t>
  </si>
  <si>
    <t>Teaching History in the Digital Age</t>
  </si>
  <si>
    <t>Kelly, T. Mills</t>
  </si>
  <si>
    <t>The American Automobile Industry : Rebirth or Requiem?</t>
  </si>
  <si>
    <t>University of Michigan, Center for Japanese Studies</t>
  </si>
  <si>
    <t>Cole, Robert</t>
  </si>
  <si>
    <t>The Sting of Death and Other Stories</t>
  </si>
  <si>
    <t>Shimao, Toshio</t>
  </si>
  <si>
    <t>Poetry's Afterlife : Verse in the Digital Age</t>
  </si>
  <si>
    <t>Stein, Kevin</t>
  </si>
  <si>
    <t>Developing Writers in Higher Education : A Longitudinal Study</t>
  </si>
  <si>
    <t>Gere, Anne Ruggles</t>
  </si>
  <si>
    <t>Tactics of the Human : Experimental Technics in American Fiction</t>
  </si>
  <si>
    <t>Shackelford, Laura</t>
  </si>
  <si>
    <t>In Defense of Monopoly : How Market Power Fosters Creative Production</t>
  </si>
  <si>
    <t>McKenzie, Richard B.</t>
  </si>
  <si>
    <t>The Future of Africa : Challenges and Opportunities</t>
  </si>
  <si>
    <t>Cilliers, Jakkie</t>
  </si>
  <si>
    <t>International Organizations in Global Social Governance</t>
  </si>
  <si>
    <t>Martens, Kerstin</t>
  </si>
  <si>
    <t>Organisationsbildung und Gesellschaftliche Differenzierung : Empirische Einsichten und Theoretische Perspektiven</t>
  </si>
  <si>
    <t>Schwarting, Rena</t>
  </si>
  <si>
    <t>Urban Informatics</t>
  </si>
  <si>
    <t>Shi, Wenzhong</t>
  </si>
  <si>
    <t>Resilient Urban Futures</t>
  </si>
  <si>
    <t>Hamstead, Zoé A.</t>
  </si>
  <si>
    <t>Operationalisation of Hybrid Peacebuilding in Asia : From Theory to Practice</t>
  </si>
  <si>
    <t>Migration to and from Welfare States : Lived Experiences of the Welfare-Migration Nexus in a Globalised World</t>
  </si>
  <si>
    <t>Ryndyk, Oleksandr</t>
  </si>
  <si>
    <t>Migration and Discrimination : IMISCOE Short Reader</t>
  </si>
  <si>
    <t>Fibbi, Rosita</t>
  </si>
  <si>
    <t>Remedies Against Immunity? : Reconciling International and Domestic Law after the Italian Constitutional Court's Sentenza 238/2014</t>
  </si>
  <si>
    <t>Volpe, Valentina</t>
  </si>
  <si>
    <t>AVENUE21. Politische und Planerische Aspekte der Automatisierten Mobilität</t>
  </si>
  <si>
    <t>Mitteregger, Mathias</t>
  </si>
  <si>
    <t>Cushing's Disease and Aggressive Pituitary Tumours : Aspects on Epidemiology, Treatment, and Long-Term Follow-up</t>
  </si>
  <si>
    <t>Bengtsson, Daniel</t>
  </si>
  <si>
    <t>Synthesis and Characterization of ZnO/Graphene Nanostructures for Electronics and Photocatalysis</t>
  </si>
  <si>
    <t>Chalangar, Seyed Ebrahim</t>
  </si>
  <si>
    <t>Prediction of Spontaneous Preterm Birth : Clinical and Immunological Aspects</t>
  </si>
  <si>
    <t>Svenvik, Maria</t>
  </si>
  <si>
    <t>Scientia Media : Der Molinismus und das Faktenwissen. Mit Einer Edition des Ms. BU Salamanca 156 Von 1653</t>
  </si>
  <si>
    <t>Knebel, Sven K.</t>
  </si>
  <si>
    <t>Musculoskeletal Diseases 2021-2024 : Diagnostic Imaging</t>
  </si>
  <si>
    <t>Rethinking Social Action Through Music : The Search for Coexistence and Citizenship in Medellín's Music Schools</t>
  </si>
  <si>
    <t>Baker, Geoffrey</t>
  </si>
  <si>
    <t>New Perspectives in Biblical and Rabbinic Hebrew</t>
  </si>
  <si>
    <t>Classical Music : Contemporary Perspectives and Challenges</t>
  </si>
  <si>
    <t>Beckerman, Michael</t>
  </si>
  <si>
    <t>Middlemarch : Epigraphs and Mirrors</t>
  </si>
  <si>
    <t>Roberts, Adam</t>
  </si>
  <si>
    <t>Grammatical and Sociolinguistic Aspects of Ethiopian Languages</t>
  </si>
  <si>
    <t>Ado, Derib</t>
  </si>
  <si>
    <t>Functionalized Epitaxial Graphene As Versatile Platform for Air Quality Sensors</t>
  </si>
  <si>
    <t>Rodner, Marius</t>
  </si>
  <si>
    <t>Sensor Management for Target Tracking Applications</t>
  </si>
  <si>
    <t>Boström-Rost, Per</t>
  </si>
  <si>
    <t>East and West of the Pentacrest : Linguistic Studies in Honor of Paula Kempchinsky</t>
  </si>
  <si>
    <t>Gupton, Timothy</t>
  </si>
  <si>
    <t>Operatic Pasticcios in 18th-Century Europe : Contexts, Materials and Aesthetics</t>
  </si>
  <si>
    <t>Over, Berthold</t>
  </si>
  <si>
    <t>Mapping the Unmappable? : Cartographic Explorations with Indigenous Peoples in Africa</t>
  </si>
  <si>
    <t>Dieckmann, Ute</t>
  </si>
  <si>
    <t>Ageism in the Media : Online Representations of Older People</t>
  </si>
  <si>
    <t>Xu, Wenqian</t>
  </si>
  <si>
    <t>Vocational Students' Agency in Identity Formation As Industrial Workers</t>
  </si>
  <si>
    <t>Ferm, Lisa</t>
  </si>
  <si>
    <t>A Techno-Economic System Approach for the Energy Renovation of Residential Districts Built Before 1945</t>
  </si>
  <si>
    <t>Milic, Vlatko</t>
  </si>
  <si>
    <t>Masterpieces of Swiss Entrepreneurship : Swiss SMEs Competing in Global Markets</t>
  </si>
  <si>
    <t>Jeannet, Jean-Pierre</t>
  </si>
  <si>
    <t>Optimization-Based Energy Management for Multi-Energy Maritime Grids</t>
  </si>
  <si>
    <t>Fang, Sidun</t>
  </si>
  <si>
    <t>UK Child Migration to Australia, 1945-1970 : A Study in Policy Failure</t>
  </si>
  <si>
    <t>Lynch, Gordon</t>
  </si>
  <si>
    <t>Designing Sustainability for All : The Design of Sustainable Product-Service Systems Applied to Distributed Economies</t>
  </si>
  <si>
    <t>Vezzoli, Carlo</t>
  </si>
  <si>
    <t>Methodological Approaches to Societies in Transformation : How to Make Sense of Change</t>
  </si>
  <si>
    <t>Berriane, Yasmine</t>
  </si>
  <si>
    <t>Social Background and the Demographic Life Course: Cross-National Comparisons</t>
  </si>
  <si>
    <t>Liefbroer, Aart C.</t>
  </si>
  <si>
    <t>Fostering Transformative Change for Sustainability in the Context of Socio-Ecological Production Landscapes and Seascapes (SEPLS)</t>
  </si>
  <si>
    <t>Nishi, Maiko</t>
  </si>
  <si>
    <t>Undocumented Migrants and Their Everyday Lives : The Case of Finland</t>
  </si>
  <si>
    <t>Jauhiainen, Jussi S.</t>
  </si>
  <si>
    <t>Young Adults and Active Citizenship : Towards Social Inclusion Through Adult Education</t>
  </si>
  <si>
    <t>Kersh, Natasha</t>
  </si>
  <si>
    <t>Migrant Hospitalities in the Mediterranean : Encounters with Alterity in Birth and Death</t>
  </si>
  <si>
    <t>Grotti, Vanessa</t>
  </si>
  <si>
    <t>Migrants, Refugees and Asylum Seekers' Integration in European Labour Markets : A Comparative Approach on Legal Barriers and Enablers</t>
  </si>
  <si>
    <t>Federico, Veronica</t>
  </si>
  <si>
    <t>Small Electric Vehicles : An International View on Light Three- and Four-Wheelers</t>
  </si>
  <si>
    <t>Ewert, Amelie</t>
  </si>
  <si>
    <t>Advances on Mechanics, Design Engineering and Manufacturing III : Proceedings of the International Joint Conference on Mechanics, Design Engineering and Advanced Manufacturing, JCM 2020, June 2-4 2020</t>
  </si>
  <si>
    <t>Roucoules, Lionel</t>
  </si>
  <si>
    <t>Social Development in the World Bank : Essays in Honor of Michael M. Cernea</t>
  </si>
  <si>
    <t>Koch-Weser, Maritta</t>
  </si>
  <si>
    <t>Market Engineering : Insights from Two Decades of Research on Markets and Information</t>
  </si>
  <si>
    <t>Gimpel, Henner</t>
  </si>
  <si>
    <t>Seeking the Best Master : State Ownership in the Varieties of Capitalism</t>
  </si>
  <si>
    <t>Szanyi, Miklós</t>
  </si>
  <si>
    <t>Sex Work, Health, and Human Rights : Global Inequities, Challenges, and Opportunities for Action</t>
  </si>
  <si>
    <t>Goldenberg, Shira M.</t>
  </si>
  <si>
    <t>Qualité des Aliments d'origine Animale : Production et Transformation</t>
  </si>
  <si>
    <t>Prache, Sophie</t>
  </si>
  <si>
    <t>Agroecology: Research for the Transition of Agri-Food Systems and Territories</t>
  </si>
  <si>
    <t>Caquet, Thierry</t>
  </si>
  <si>
    <t>Eating in the City : Socio-Anthropological Perspectives from Africa, Latin America and Asia</t>
  </si>
  <si>
    <t>Soula, Audrey</t>
  </si>
  <si>
    <t>Energy and Sustainable Futures : Proceedings of 2nd ICESF 2020</t>
  </si>
  <si>
    <t>Mporas, Iosif</t>
  </si>
  <si>
    <t>Social Selling Im B2B : Grundlagen, Tools, State of the Art</t>
  </si>
  <si>
    <t>Römmelt, Benedikt</t>
  </si>
  <si>
    <t>The Global Lives of German Migrants : Consequences of International Migration Across the Life Course</t>
  </si>
  <si>
    <t>Erlinghagen, Marcel</t>
  </si>
  <si>
    <t>Comprehensive Utilization of Magnesium Slag by Pidgeon Process</t>
  </si>
  <si>
    <t>Wu, Laner</t>
  </si>
  <si>
    <t>Schulbezogene Motivierungspraktiken Von Eltern : Verbale Wert- und Kontrollzuschreibungen Gegenüber Kindern Beim Übertritt in Die Sekundarstufe I</t>
  </si>
  <si>
    <t>Steiner, Erich</t>
  </si>
  <si>
    <t>Animals in Our Midst: the Challenges of Co-Existing with Animals in the Anthropocene</t>
  </si>
  <si>
    <t>Bovenkerk, Bernice</t>
  </si>
  <si>
    <t>Recycling - ein Mittel Zu Welchem Zweck? : Modellbasierte Ermittlung der Energetischen Aufwände des Metallrecyclings Für Einen Empirischen Vergleich Mit der Primärgewinnung</t>
  </si>
  <si>
    <t>Schäfer, Philipp</t>
  </si>
  <si>
    <t>Investigating Volume Change and Ion Transport in Conjugated Polymers</t>
  </si>
  <si>
    <t>Gladisch, Johannes</t>
  </si>
  <si>
    <t>Insomnia Symptoms in Chronic Pain : Clinical Presentation, Risk and Treatment</t>
  </si>
  <si>
    <t>Wiklund, Tobias</t>
  </si>
  <si>
    <t>Development of Experimental Brachytherapy Dosimetry Using Monte Carlo Simulations for Detector Characterization</t>
  </si>
  <si>
    <t>Kaveckyte, Vaiva</t>
  </si>
  <si>
    <t>Optimisation Methods for Solving a Large-Scale Avionics Scheduling Problem</t>
  </si>
  <si>
    <t>Karlsson, Emil</t>
  </si>
  <si>
    <t>The Value of Evaluating and Implementing Pharmaceuticals</t>
  </si>
  <si>
    <t>Johannesen, Kasper</t>
  </si>
  <si>
    <t>Methods for Travel Pattern Analysis Using Large-Scale Passive Data</t>
  </si>
  <si>
    <t>Breyer, Nils</t>
  </si>
  <si>
    <t>Atypical Femoral Fractures: Another Brick in the Wall : On Aspects of Healing, Treatment Strategies and Surveillance</t>
  </si>
  <si>
    <t>Bögl, Hans Peter</t>
  </si>
  <si>
    <t>Turbulence Descriptors in Arterial Flows : Patient-Specific Computational Hemodynamics</t>
  </si>
  <si>
    <t>Andersson, Magnus</t>
  </si>
  <si>
    <t>Boy-Wives and Female Husbands : Studies in African Homosexualities</t>
  </si>
  <si>
    <t>Murray, Stephen O.</t>
  </si>
  <si>
    <t>Water and Earthquakes</t>
  </si>
  <si>
    <t>Bearing Witness : Ruth Harrison and British Farm Animal Welfare (1920-2000)</t>
  </si>
  <si>
    <t>Kirchhelle, Claas</t>
  </si>
  <si>
    <t>Microorganisms in the Deterioration and Preservation of Cultural Heritage</t>
  </si>
  <si>
    <t>Joseph, Edith</t>
  </si>
  <si>
    <t>Rice Improvement : Physiological, Molecular Breeding and Genetic Perspectives</t>
  </si>
  <si>
    <t>Ali, Jauhar</t>
  </si>
  <si>
    <t>Female Employment and Gender Gaps in China</t>
  </si>
  <si>
    <t>Ma, Xinxin</t>
  </si>
  <si>
    <t>Social Cash Transfer in Turkey : Toward Market Citizenship</t>
  </si>
  <si>
    <t>Ark-Yıldırım, Ceren</t>
  </si>
  <si>
    <t>Modeling and Optimal Control for Dynamic Driving of Hybridized Vehicles with Turbocharged Diesel Engines</t>
  </si>
  <si>
    <t>Ekberg, Kristoffer</t>
  </si>
  <si>
    <t>Autonomous Lab-On-a-chip: Solutions and Fast Prototyping Tools</t>
  </si>
  <si>
    <t>Comina Bellido, German</t>
  </si>
  <si>
    <t>Engineered Ion-Bombardment As a Tool in Thin Film Deposition</t>
  </si>
  <si>
    <t>Viloan, Rommel Paulo B.</t>
  </si>
  <si>
    <t>Topsar Och Cellmembran : Kroppens Näringsupptag I Undervisning Och Elevtexter På Mellanstadiet</t>
  </si>
  <si>
    <t>Jahic Pettersson, Alma</t>
  </si>
  <si>
    <t>On Subscale Flight Testing : Cost-Effective Techniques for Research and Development</t>
  </si>
  <si>
    <t>Sobrón Rueda, Alejandro</t>
  </si>
  <si>
    <t>Learning Visual Perception for Autonomous Systems</t>
  </si>
  <si>
    <t>Häger, Gustav</t>
  </si>
  <si>
    <t>Enable the Landing of Internet of Things: a Holistic Approach</t>
  </si>
  <si>
    <t>Liu, Yu</t>
  </si>
  <si>
    <t>Implementing Industry 4. 0 in SMEs : Concepts, Examples and Applications</t>
  </si>
  <si>
    <t>Matt, Dominik T.</t>
  </si>
  <si>
    <t>Governing the Pandemic : The Politics of Navigating a Mega-Crisis</t>
  </si>
  <si>
    <t>Understanding the Creeping Crisis</t>
  </si>
  <si>
    <t>Migration and Environmental Change in Morocco : In Search for Linkages Between Migration Aspirations and (Perceived) Environmental Changes</t>
  </si>
  <si>
    <t>Van Praag, Lore</t>
  </si>
  <si>
    <t>Trends in Cerebrovascular Surgery and Interventions</t>
  </si>
  <si>
    <t>Esposito, Giuseppe</t>
  </si>
  <si>
    <t>Migration, Urbanity and Cosmopolitanism in a Globalized World</t>
  </si>
  <si>
    <t>Lejeune, Catherine</t>
  </si>
  <si>
    <t>A Victorian Curate : A Study of the Life and Career of the Rev. Dr John Hunt</t>
  </si>
  <si>
    <t>Yeandle, David</t>
  </si>
  <si>
    <t>Shaping the Digital Dissertation : Knowledge Production in the Arts and Humanities</t>
  </si>
  <si>
    <t>Kuhn, Virginia</t>
  </si>
  <si>
    <t>Diversity and Rabbinization : Jewish Texts and Societies Between 400 and 1000 CE</t>
  </si>
  <si>
    <t>McDowell, Gavin</t>
  </si>
  <si>
    <t>Right Research : Modelling Sustainable Research Practices in the Anthropocene</t>
  </si>
  <si>
    <t>Miya, Chelsea</t>
  </si>
  <si>
    <t>Der Junge Carnap in Historischem Kontext: 1918-1935 / Young Carnap in an Historical Context: 1918-1935</t>
  </si>
  <si>
    <t>Damböck, Christian</t>
  </si>
  <si>
    <t>Finance 4. 0 - Towards a Socio-Ecological Finance System : A Participatory Framework to Promote Sustainability</t>
  </si>
  <si>
    <t>Dapp, Marcus M.</t>
  </si>
  <si>
    <t>Forms of Exile in Jewish Literature and Thought : Twentieth-Century Central Europe and Migration to America</t>
  </si>
  <si>
    <t>Volková, Bronislava</t>
  </si>
  <si>
    <t>Local Social Exposure and Inter-Neighborhood Mobility</t>
  </si>
  <si>
    <t>Giménez de La Prada, Alex</t>
  </si>
  <si>
    <t>Framåtsyftande Bedömning I Tidig Läsundervisning : Teori Och Praktik</t>
  </si>
  <si>
    <t>Andersson, Ulrika B.</t>
  </si>
  <si>
    <t>Life Cycle Costing : Supporting Companies Towards a Circular Economy</t>
  </si>
  <si>
    <t>Kambanou, Marianna Lena</t>
  </si>
  <si>
    <t>Atlas of Fallen Dust in Kuwait</t>
  </si>
  <si>
    <t>Al-Dousari, Ali</t>
  </si>
  <si>
    <t>Erfinden, Schöpfen, Machen : Körper- und Imaginationstechniken</t>
  </si>
  <si>
    <t>Engelhardt, Nina</t>
  </si>
  <si>
    <t>Psychology and Politics : Intersections of Science and Ideology in the History of Psy-Sciences</t>
  </si>
  <si>
    <t>Borgos, Anna</t>
  </si>
  <si>
    <t>After the Berlin Wall : A History of the EBRD, Volume 1</t>
  </si>
  <si>
    <t>Kilpatrick, Andrew</t>
  </si>
  <si>
    <t>A Task for Sisyphus : Why Europe's Roma Policies Fail</t>
  </si>
  <si>
    <t>Rostas, Iulius</t>
  </si>
  <si>
    <t>Introduction to Central Banking</t>
  </si>
  <si>
    <t>Bindseil, Ulrich</t>
  </si>
  <si>
    <t>Innovation, Sustainability and Management in Motorsports : The Case of Formula E</t>
  </si>
  <si>
    <t>Næss, Hans Erik</t>
  </si>
  <si>
    <t>Bioeconomy and Global Inequalities : Socio-Ecological Perspectives on Biomass Sourcing and Production</t>
  </si>
  <si>
    <t>Backhouse, Maria</t>
  </si>
  <si>
    <t>Die Zukunft Zwischen Goethezeit und Realismus : Literarische Zeitreflexion der Zwischenphase (1820-1850)</t>
  </si>
  <si>
    <t>Brössel, Stephan</t>
  </si>
  <si>
    <t>Visual Securitization : Humanitarian Representations and Migration Governance</t>
  </si>
  <si>
    <t>Massari, Alice</t>
  </si>
  <si>
    <t>Cinematic Histospheres : On the Theory and Practice of Historical Films</t>
  </si>
  <si>
    <t>Greiner, Rasmus</t>
  </si>
  <si>
    <t>African Handbook of Climate Change Adaptation</t>
  </si>
  <si>
    <t>The Heterogeneity of Cancer Metabolism</t>
  </si>
  <si>
    <t>Le, Anne</t>
  </si>
  <si>
    <t>From Opinion Mining to Financial Argument Mining</t>
  </si>
  <si>
    <t>Chen, Chung-Chi</t>
  </si>
  <si>
    <t>Area Selective Chemical Vapor Deposition of Metallic Films Using Plasma Electrons As Reducing Agents</t>
  </si>
  <si>
    <t>Nadhom, Hama</t>
  </si>
  <si>
    <t>Multi-Cell Massive MIMO: Power Control and Channel Estimation</t>
  </si>
  <si>
    <t>Ghazanfari, Amin</t>
  </si>
  <si>
    <t>Data-Driven Approaches for Traffic State and Emission Estimation</t>
  </si>
  <si>
    <t>Tsanakas, Nikolaos</t>
  </si>
  <si>
    <t>Coordinating the Internet : Thought Styles, Technology and Coordination</t>
  </si>
  <si>
    <t>Lindeberg, Fredrik</t>
  </si>
  <si>
    <t>Discriminative Correlation Filters in Robot Vision</t>
  </si>
  <si>
    <t>Robinson, Andreas</t>
  </si>
  <si>
    <t>High Temperature Fatigue Behaviour of Austenitic Stainless Steel : Microstructural Evolution During Dwell-Fatigue and Thermomechanical Fatigue</t>
  </si>
  <si>
    <t>Wärner, Hugo</t>
  </si>
  <si>
    <t>Atlas of Mineral Deposits Distribution in China (2020)</t>
  </si>
  <si>
    <t>Qi, Fanyu</t>
  </si>
  <si>
    <t>Language Variation - European Perspectives VIII : Selected Papers from the Tenth International Conference on Language Variation in Europe (ICLaVE 10), Leeuwarden, June 2019</t>
  </si>
  <si>
    <t>Van de Velde, Hans</t>
  </si>
  <si>
    <t>Uncertainty in Mechanical Engineering : Proceedings of the 4th International Conference on Uncertainty in Mechanical Engineering (ICUME 2021), June 7-8 2021</t>
  </si>
  <si>
    <t>Pelz, Peter F.</t>
  </si>
  <si>
    <t>Influences of the IEA Civic and Citizenship Education Studies : Practice, Policy, and Research Across Countries and Regions</t>
  </si>
  <si>
    <t>Malak-Minkiewicz, Barbara</t>
  </si>
  <si>
    <t>Making Healthcare Safe : The Story of the Patient Safety Movement</t>
  </si>
  <si>
    <t>Leape, Lucian L.</t>
  </si>
  <si>
    <t>Animating Unpredictable Effects : Nonlinearity in Hollywood's R&amp;d Complex</t>
  </si>
  <si>
    <t>Gowanlock, Jordan</t>
  </si>
  <si>
    <t>Concepts, Frames and Cascades in Semantics, Cognition and Ontology</t>
  </si>
  <si>
    <t>Löbner, Sebastian</t>
  </si>
  <si>
    <t>Uncertainty-Aware Convolutional Neural Networks for Vision Tasks on Sparse Data</t>
  </si>
  <si>
    <t>Eldesokey, Abdelrahman</t>
  </si>
  <si>
    <t>Writing and Publishing Scientific Papers : A Primer for the Non-English Speaker</t>
  </si>
  <si>
    <t>Lövei, Gábor L.</t>
  </si>
  <si>
    <t>On the Literature and Thought of the German Classical Era : Collected Essays</t>
  </si>
  <si>
    <t>Nisbet, Hugh Barr</t>
  </si>
  <si>
    <t>Inventory Analytics</t>
  </si>
  <si>
    <t>Rossi, Roberto</t>
  </si>
  <si>
    <t>Die Christliche Predigt Im 21. Jahrhundert : Multimodale Analyse Einer Kommunikativen Gattung</t>
  </si>
  <si>
    <t>Dix, Carolin</t>
  </si>
  <si>
    <t>Nuclear and Radiological Emergencies in Animal Production Systems, Preparedness, Response and Recovery</t>
  </si>
  <si>
    <t>Naletoski, Ivancho</t>
  </si>
  <si>
    <t>Our Nanotechnology Future</t>
  </si>
  <si>
    <t>Natowitz, Joseph</t>
  </si>
  <si>
    <t>Chasing the Chinese Dream : Four Decades of Following China's War on Poverty</t>
  </si>
  <si>
    <t>Brown, William N.</t>
  </si>
  <si>
    <t>Critical Issues in Head and Neck Oncology : Key Concepts from the Seventh THNO Meeting</t>
  </si>
  <si>
    <t>Vermorken, Jan B.</t>
  </si>
  <si>
    <t>Advances in Assessment and Modeling of Earthquake Loss</t>
  </si>
  <si>
    <t>Akkar, Sinan</t>
  </si>
  <si>
    <t>EU-Turkey Relations : Theories, Institutions, and Policies</t>
  </si>
  <si>
    <t>Reiners, Wulf</t>
  </si>
  <si>
    <t>Temporäre an- und Abwesenheiten in ländlichen Räumen : Auswirkungen Multilokaler Lebensweisen Auf Land und Gesellschaft</t>
  </si>
  <si>
    <t>Othengrafen, Frank</t>
  </si>
  <si>
    <t>Money and Debt: the Public Role of Banks</t>
  </si>
  <si>
    <t>Stellinga, Bart</t>
  </si>
  <si>
    <t>Culture-Bearing Women : The Black Women Renaissance and Cultural Nationalism</t>
  </si>
  <si>
    <t>Penier, Izabella</t>
  </si>
  <si>
    <t>Theater As Metaphor</t>
  </si>
  <si>
    <t>Penskaya, Elena</t>
  </si>
  <si>
    <t>Advances in the Sociology of Trust and Cooperation : Theory, Experiments, and Field Studies</t>
  </si>
  <si>
    <t>Buskens, Vincent</t>
  </si>
  <si>
    <t>Creating Standards : Interactions with Arabic Script in 12 Manuscript Cultures</t>
  </si>
  <si>
    <t>Bondarev, Dmitry</t>
  </si>
  <si>
    <t>From Memory to Marble : The Historical Frieze of the Voortrekker Monument Part II: the Scenes</t>
  </si>
  <si>
    <t>Handbook of Stemmatology : History, Methodology, Digital Approaches</t>
  </si>
  <si>
    <t>Roelli, Philipp</t>
  </si>
  <si>
    <t>Rome and the Guidebook Tradition : From the Middle Ages to the 20th Century</t>
  </si>
  <si>
    <t>Blennow, Anna</t>
  </si>
  <si>
    <t>Empire of Liberty : Die Vereinigten Staaten Von der Reconstruction Zum Spanisch-Amerikanischen Krieg</t>
  </si>
  <si>
    <t>Hampf, Michaela</t>
  </si>
  <si>
    <t>Tra I Libri Di Isacco Argiro</t>
  </si>
  <si>
    <t>Gioffreda, Anna</t>
  </si>
  <si>
    <t>Zerstörung Von Geschriebenem : Historische und Transkulturelle Perspektiven</t>
  </si>
  <si>
    <t>Kühne-Wespi, Carina</t>
  </si>
  <si>
    <t>Staging Doubt : Skepticism in Early Modern European Drama</t>
  </si>
  <si>
    <t>Simulations in Medicine : Computer-Aided Diagnostics and Therapy</t>
  </si>
  <si>
    <t>Roterman-Konieczna, Irena</t>
  </si>
  <si>
    <t>Materialität und Präsenz Spätantiker Inschriften : Eine Studie Zum Wandel der Inschriftenkultur in Den Italienischen Provinzen</t>
  </si>
  <si>
    <t>Johann Gottlob Von Quandt (17871859) : Kunst Fördern und Ausstellen</t>
  </si>
  <si>
    <t>Deutscher Kunstverlag GmbH</t>
  </si>
  <si>
    <t>Rüfenacht, Andreas</t>
  </si>
  <si>
    <t>Data Visualization in Society</t>
  </si>
  <si>
    <t>Engebretsen, Martin</t>
  </si>
  <si>
    <t>Sacred Scripture / Sacred Space : The Interlacing of Real Places and Conceptual Spaces in Medieval Art and Architecture</t>
  </si>
  <si>
    <t>Manual der Koloproktologie</t>
  </si>
  <si>
    <t>Herold, Alexander</t>
  </si>
  <si>
    <t>Development on Loan : Microcredit and Marginalisation in Rural China</t>
  </si>
  <si>
    <t>Loubere, Nicholas</t>
  </si>
  <si>
    <t>Literature and Politics in the Later Foucault</t>
  </si>
  <si>
    <t>G. Blanco, Azucena</t>
  </si>
  <si>
    <t>Medieval Women, Material Culture, and Power : Matilda Plantagenet and Her Sisters</t>
  </si>
  <si>
    <t>Jasperse, Jitske</t>
  </si>
  <si>
    <t>Das Hirsch-Institut Für Tropenmedizin : Asella, Äthiopien</t>
  </si>
  <si>
    <t>Häussinger, Dieter</t>
  </si>
  <si>
    <t>Urban Religion in Late Antiquity</t>
  </si>
  <si>
    <t>Lätzer-Lasar, Asuman</t>
  </si>
  <si>
    <t>Health and Socio-Economic Status over the Life Course : First Results from SHARE Waves 6 And 7</t>
  </si>
  <si>
    <t>Border Deaths : Causes, Dynamics and Consequences of Migration-Related Mortality</t>
  </si>
  <si>
    <t>Cuttitta, Paolo</t>
  </si>
  <si>
    <t>A Touch of Doubt : On Haptic Scepticism</t>
  </si>
  <si>
    <t>Aumiller, Rachel</t>
  </si>
  <si>
    <t>Inschriftenkulturen Im Kommunalen Italien : Traditionen, Brüche, Neuanfänge</t>
  </si>
  <si>
    <t>Screen Space Reconfigured</t>
  </si>
  <si>
    <t>Saether, Susanne</t>
  </si>
  <si>
    <t>Levinas and Literature : New Directions</t>
  </si>
  <si>
    <t>Fagenblat, Michael</t>
  </si>
  <si>
    <t>Confronting Antisemitism from the Perspectives of Christianity, Islam, and Judaism</t>
  </si>
  <si>
    <t>Der österreichische Werbefilm : Die Genese Eines Genres Von Seinen Anfängen Bis 1938</t>
  </si>
  <si>
    <t>Moser, Karin</t>
  </si>
  <si>
    <t>Approaches to the Medieval Self : Representations and Conceptualizations of the Self in the Textual and Material Culture of Western Scandinavia, C. 800-1500</t>
  </si>
  <si>
    <t>Eriksen, Stefka G.</t>
  </si>
  <si>
    <t>The Aesthetics of Global Protest : Visual Culture and Communication</t>
  </si>
  <si>
    <t>McGarry, Aidan</t>
  </si>
  <si>
    <t>Rente Im Dritten Reich : Die Reichsversicherungsanstalt Für Angestellte 1933 Bis 1945</t>
  </si>
  <si>
    <t>Erker, Paul</t>
  </si>
  <si>
    <t>The Structures of the Film Experience by Jean-Pierre Meunier : Historical Assessments and Phenomenological Expansions</t>
  </si>
  <si>
    <t>Hanich, Julian</t>
  </si>
  <si>
    <t>Chinese Annals in the Western Observatory : An Outline of Western Studies of Chinese Unearthed Documents</t>
  </si>
  <si>
    <t>Shaughnessy, Edward</t>
  </si>
  <si>
    <t>An Imaginary Trio : King Solomon, Jesus, and Aristotle</t>
  </si>
  <si>
    <t>Shavit, Yaacov</t>
  </si>
  <si>
    <t>Namenwechsel : Die Soziale Funktion Von Vornamen Im Transitionsprozess Transgeschlechtlicher Personen</t>
  </si>
  <si>
    <t>Schmidt-Jüngst, Miriam</t>
  </si>
  <si>
    <t>From Scrolls to Scrolling : Sacred Texts, Materiality, and Dynamic Media Cultures</t>
  </si>
  <si>
    <t>Anderson, Bradford A.</t>
  </si>
  <si>
    <t>Snapshot-Based Methods and Algorithms</t>
  </si>
  <si>
    <t>Benner, Peter</t>
  </si>
  <si>
    <t>Mythische Sphärenwechsel : Methodisch Neue Zugänge Zu Antiken Mythen in Orient und Okzident</t>
  </si>
  <si>
    <t>Yearbook of the Maimonides Centre for Advanced Studies. 2019</t>
  </si>
  <si>
    <t>LiebeLesen : Potsdamer Vorlesungen Zu Einem Großen Gefühl und Dessen Aneignung</t>
  </si>
  <si>
    <t>Normen und Standards Für Die Digitale Transformation : Werkzeuge, Praxisbeispiele und Entscheidungshilfen Für Innovative Unternehmen, Normungsorganisationen und Politische Entscheidungsträger</t>
  </si>
  <si>
    <t>Mangelsdorf, Axel</t>
  </si>
  <si>
    <t>Visser 't Hooft, 1900-1985 : Living for the Unity of the Church</t>
  </si>
  <si>
    <t>Zeilstra, Jurjen</t>
  </si>
  <si>
    <t>Nah Am Boden : Privater Hausbau Zwischen Wohnungsnot und Landkonflikt Im Samarkand der 50er- Und 60er-Jahre</t>
  </si>
  <si>
    <t>Petrova, Mariya</t>
  </si>
  <si>
    <t>Anton Pannekoek: Ways of Viewing Science and Society : Ways of Viewing Science and Society</t>
  </si>
  <si>
    <t>Tai, Chaokang</t>
  </si>
  <si>
    <t>De la Literatura Latinoamericana a la Literatura (latinoamericana) Mundial : Condiciones Materiales, Procesos y Actores</t>
  </si>
  <si>
    <t>The Patient Griselda Myth : Looking at Late Medieval and Early Modern European Literature</t>
  </si>
  <si>
    <t>Rüegg, Madeline</t>
  </si>
  <si>
    <t>AntikeTexteundihreMaterialität : AlltäglichePräsenz,medialeSemantik,literarischeReflexion</t>
  </si>
  <si>
    <t>Ritter-Schmalz, Cornelia</t>
  </si>
  <si>
    <t>Sceptical Paths : Enquiry and Doubt from Antiquity to the Present</t>
  </si>
  <si>
    <t>Tracing the Jerusalem Code : Volume 2: the Chosen People Christian Cultures in Early Modern Scandinavia (1536-Ca. 1750)</t>
  </si>
  <si>
    <t>Oftestad, Eivor Andersen</t>
  </si>
  <si>
    <t>Die Reihe Merz 1923-1932</t>
  </si>
  <si>
    <t>Schwitters, Kurt</t>
  </si>
  <si>
    <t>Ringstraße Ist überall : Texte über Architektur und Stadt</t>
  </si>
  <si>
    <t>Kühn, Christian</t>
  </si>
  <si>
    <t>Annotations in Scholarly Editions and Research : Functions, Differentiation, Systematization</t>
  </si>
  <si>
    <t>Nantke, Julia</t>
  </si>
  <si>
    <t>Primary Sources and Asian Pasts</t>
  </si>
  <si>
    <t>Bisschop, Peter C.</t>
  </si>
  <si>
    <t>Goethe's Faust and the Divan Of Ḥāfiẓ : Body and Soul in Pursuit of Knowledge and Beauty</t>
  </si>
  <si>
    <t>Michaeli, Hiwa</t>
  </si>
  <si>
    <t>Cultural Techniques : Assembling Spaces, Texts and Collectives</t>
  </si>
  <si>
    <t>Dünne, Jörg</t>
  </si>
  <si>
    <t>Schauplatz Archiv : Objekt - Narrativ - Performanz</t>
  </si>
  <si>
    <t>Virtuelle Lebenswelten : Körper - Räume - Affekte</t>
  </si>
  <si>
    <t>Rieger, Stefan</t>
  </si>
  <si>
    <t>The Wise Merchant</t>
  </si>
  <si>
    <t>Post, Anna-Luna</t>
  </si>
  <si>
    <t>Grüne Sonnen: Poetik und Politik der Fantasy Am Medium Videospiel</t>
  </si>
  <si>
    <t>Illger, Daniel</t>
  </si>
  <si>
    <t>Being Profiled:cogitas Ergo Sum : 10 Years of Profiling the European Citizen</t>
  </si>
  <si>
    <t>Bayamlioglu, Emre</t>
  </si>
  <si>
    <t>A Buddhist Ritual Manual on Agriculture : Vajratuṇḍasamayakalparāja - Critical Edition</t>
  </si>
  <si>
    <t>Hidas, Gergely</t>
  </si>
  <si>
    <t>Masora und Exegese : Untersuchungen Zur Masora und Bibeltextüberlieferung Im Kommentar des R. Schlomo Ben Yitzchaq (Raschi)</t>
  </si>
  <si>
    <t>Petzold, Kay Joe</t>
  </si>
  <si>
    <t>Reflektierte Algorithmische Textanalyse : Interdisziplinäre(s) Arbeiten in der CRETA-Werkstatt</t>
  </si>
  <si>
    <t>Reiter, Nils</t>
  </si>
  <si>
    <t>Wie Wird Weltliteratur Gemacht? : Globale Zirkulationen Lateinamerikanischer Literaturen</t>
  </si>
  <si>
    <t>Paradigmas y Polifuncionalidad : Estudio Diacrónico de «preciso»/«precisamente», «justo»/«justamente», «exacto»/«exactamente» Y «cabal»/«cabalmente»</t>
  </si>
  <si>
    <t>Gerhalter, Katharina</t>
  </si>
  <si>
    <t>Digital Classical Philology : Ancient Greek and Latin in the Digital Revolution</t>
  </si>
  <si>
    <t>Berti, Monica</t>
  </si>
  <si>
    <t>Bertel Thorvaldsen - Celebrity : Visualisierungen Eines Künstlerkults Im Frühen 19. Jahrhundert</t>
  </si>
  <si>
    <t>Schindler, Tabea</t>
  </si>
  <si>
    <t>Frontier Tibet : Patterns of Change in the Sino-Tibetan Borderlands</t>
  </si>
  <si>
    <t>Gros, Stéphane</t>
  </si>
  <si>
    <t>Bewertungsinteraktionen in der Theaterpause : Eine Gesprächsanalytische Untersuchung Von Pausengesprächen Im Theaterfoyer</t>
  </si>
  <si>
    <t>Littérature Française et Savoirs Biologiques Au XIXe Siècle : Traduction, Transmission, Transposition</t>
  </si>
  <si>
    <t>Klinkert, Thomas</t>
  </si>
  <si>
    <t>Terrorizing Images : Trauma and Ekphrasis in Contemporary Literature</t>
  </si>
  <si>
    <t>Armstrong, Charles Ivan</t>
  </si>
  <si>
    <t>Fictionalizing Heterodoxy : Various Uses of Knowledge in the Spanish World from the Archpriest of Hita to Mateo Alemán</t>
  </si>
  <si>
    <t>Gernert, Folke</t>
  </si>
  <si>
    <t>Jews and Protestants : From the Reformation to the Present</t>
  </si>
  <si>
    <t>Aue-Ben David, Irene</t>
  </si>
  <si>
    <t>Abraham Abulafia's Esotericism : Secrets and Doubts</t>
  </si>
  <si>
    <t>Idel, Moshe</t>
  </si>
  <si>
    <t>Inscriptions of the Aulikaras and Their Associates</t>
  </si>
  <si>
    <t>Balogh, Dániel</t>
  </si>
  <si>
    <t>Schweizerdeutsch und Sprachbewusstsein : Zur Konsolidierung der Deutschschweizer Diglossie Im 19. Jahrhundert</t>
  </si>
  <si>
    <t>Ruoss, Emanuel</t>
  </si>
  <si>
    <t>Disseminating Jewish Literatures : Knowledge, Research, Curricula</t>
  </si>
  <si>
    <t>Zepp, Susanne</t>
  </si>
  <si>
    <t>Leeuwenhoek's Legatees and Beijerinck's Beneficiaries : A History of Medical Virology in the Netherlands</t>
  </si>
  <si>
    <t>Doornum, Gerard</t>
  </si>
  <si>
    <t>Horizontal Learning in the High Middle Ages : Peer-To-Peer Knowledge Transfer in Religious Communities</t>
  </si>
  <si>
    <t>Long, Micol</t>
  </si>
  <si>
    <t>Heilige und Heiden Im Legendarischen Erzählen des 13. Jahrhunderts : Formen und Funktionen der Aushandlung des Religiösen Gegensatzes Zum Heidentum</t>
  </si>
  <si>
    <t>Prautzsch, Felix</t>
  </si>
  <si>
    <t>New Cosmopolitanisms, Race, and Ethnicity : Cultural Perspectives</t>
  </si>
  <si>
    <t>Luczak, Ewa Barbara</t>
  </si>
  <si>
    <t>Volksschauspiele : Genese Einer Kulturgeschichtlichen Formation</t>
  </si>
  <si>
    <t>Was Sprach der eine Zum Anderen? : Argumentationsformen in Den Sumerischen Rangstreitgesprächen</t>
  </si>
  <si>
    <t>Mittermayer, Catherine</t>
  </si>
  <si>
    <t>Seneca the Elder and His Rediscovered Historiae Ab Initio Bellorum Civilium : New Perspectives on Early-Imperial Roman Historiography</t>
  </si>
  <si>
    <t>Nobelpreisträgerinnen : 14 Schriftstellerinnen Im Porträt</t>
  </si>
  <si>
    <t>Ort und Zeit : Filmische Heterotopien Von Hochbaum Bis Tykwer</t>
  </si>
  <si>
    <t>Wedel, Michael</t>
  </si>
  <si>
    <t>Jalkut Schimoni Zum Zwölfprophetenbuch : Übersetzung und Kommentar</t>
  </si>
  <si>
    <t>Marx, Farina</t>
  </si>
  <si>
    <t>Writing Beyond Pen and Parchment : Inscribed Objects in Medieval European Literature</t>
  </si>
  <si>
    <t>Wagner, Ricarda</t>
  </si>
  <si>
    <t>Gesammelte Aufsätze Zur Altfranzösischen Epik</t>
  </si>
  <si>
    <t>Beckmann, Gustav Adolf</t>
  </si>
  <si>
    <t>Ghosts of Transparency : Shadows Cast and Shadows Cast Out</t>
  </si>
  <si>
    <t>Doyle, Michael R.</t>
  </si>
  <si>
    <t>Deutsche und Italienische Besatzung Im Unabhängigen Staat Kroatien : 1941 Bis 1943/45</t>
  </si>
  <si>
    <t>Schmid, Sanela</t>
  </si>
  <si>
    <t>Sprach-Spiel-Kunst : Ein Dialog Zwischen Wissenschaft und Praxis</t>
  </si>
  <si>
    <t>Winter-Froemel, Esme</t>
  </si>
  <si>
    <t>Canones: the Art of Harmony : The Canon Tables of the Four Gospels</t>
  </si>
  <si>
    <t>Futures of the Study of Culture : Interdisciplinary Perspectives, Global Challenges</t>
  </si>
  <si>
    <t>Bachmann-Medick, Doris</t>
  </si>
  <si>
    <t>The Power of Urban Water : Studies in Premodern Urbanism</t>
  </si>
  <si>
    <t>Chiarenza, Nicola</t>
  </si>
  <si>
    <t>Historische Gärten und Klimawandel : Eine Aufgabe Für Gartendenkmalpflege, Wissenschaft und Gesellschaft</t>
  </si>
  <si>
    <t>Weissbuch Gastroenterologie 2020/2021 : Erkrankungen des Magen-Darm-Traktes, der Leber und der Bauchspeicheldrüse - Gegenwart und Zukunft</t>
  </si>
  <si>
    <t>Lammert, Frank</t>
  </si>
  <si>
    <t>Dress and Cultural Difference in Early Modern Europe</t>
  </si>
  <si>
    <t>Aust, Cornelia</t>
  </si>
  <si>
    <t>Topografien des 20. Jahrhunderts : Die Memoriale Poetik des Stolperns in Haroldo de Campos' «Galáxias»</t>
  </si>
  <si>
    <t>Wrobel, Jasmin</t>
  </si>
  <si>
    <t>Offshoring of White-Collar Services : Business and Economic Perspective</t>
  </si>
  <si>
    <t>Klimek, Artur</t>
  </si>
  <si>
    <t>Frei, Fair und Lebendig - Die Macht der Commons</t>
  </si>
  <si>
    <t>Transcript Verlag</t>
  </si>
  <si>
    <t>Helfrich, Silke</t>
  </si>
  <si>
    <t>Augmented Spaces and Maps : Das Design Von Kartenbasierten Interfaces</t>
  </si>
  <si>
    <t>Schranz, Christine</t>
  </si>
  <si>
    <t>Competing Knowledges - Wissen Im Widerstreit</t>
  </si>
  <si>
    <t>Horatschek, Anna-Margaretha</t>
  </si>
  <si>
    <t>Literarische Wissenschaftsgeschichte und Wissenschaftstheorie : Kehlmann - Del Giudice - Serres</t>
  </si>
  <si>
    <t>Malinowski, Bernadette</t>
  </si>
  <si>
    <t>La Représentation du Discours Autre : Principes Pour une Description</t>
  </si>
  <si>
    <t>Authier-Revuz, Jacqueline</t>
  </si>
  <si>
    <t>Traduire Cicéron Au XVe Siècle - le Livre des Offices d'Anjourrant Bourré</t>
  </si>
  <si>
    <t>Delsaux, Olivier</t>
  </si>
  <si>
    <t>Transregional and Regional Elites - Connecting the Early Islamic Empire</t>
  </si>
  <si>
    <t>Hagemann, Hannah-Lena</t>
  </si>
  <si>
    <t>Living Standards in Southeast Asia : Changes over the Long Twentieth Century, 1900-2015</t>
  </si>
  <si>
    <t>Booth, Anne</t>
  </si>
  <si>
    <t>Boredom, Shanzhai, and Digitisation in the Time of Creative China</t>
  </si>
  <si>
    <t>Kloet, Jeroen</t>
  </si>
  <si>
    <t>The Epoch of Universalism 1769-1989 / l'époque de L'universalisme 1769-1989</t>
  </si>
  <si>
    <t>Hofmann, Franck</t>
  </si>
  <si>
    <t>The Summa Halensis : Doctrines and Debates</t>
  </si>
  <si>
    <t>Schumacher, Lydia</t>
  </si>
  <si>
    <t>World Literature, Cosmopolitanism, Globality : Beyond, Against, Post, Otherwise</t>
  </si>
  <si>
    <t>Literary Culture in Early Modern England, 1630-1700 : Angles of Contingency</t>
  </si>
  <si>
    <t>Berensmeyer, Ingo</t>
  </si>
  <si>
    <t>La Interfaz Sintaxis-Pragmática : Estudios Teóricos, Descriptivos y Experimentales</t>
  </si>
  <si>
    <t>Belloro, Valeria A.</t>
  </si>
  <si>
    <t>Tracing the Jerusalem Code : Volume 1: the Holy City Christian Cultures in Medieval Scandinavia (ca. 1100-1536)</t>
  </si>
  <si>
    <t>Aavitsland, Kristin B.</t>
  </si>
  <si>
    <t>Reigen : Historisch-Kritische Ausgabe</t>
  </si>
  <si>
    <t>Rauchenbacher, Marina</t>
  </si>
  <si>
    <t>Kingship and Polity on the Himalayan Borderland : Rajput Identity During the Early Colonial Encounter</t>
  </si>
  <si>
    <t>Moran, Arik</t>
  </si>
  <si>
    <t>Verfestigungen in der Interaktion : Konstruktionen, Sequenzielle Muster, Kommunikative Gattungen</t>
  </si>
  <si>
    <t>Weidner, Beate</t>
  </si>
  <si>
    <t>Sollbruchstellen des Deutschen, Europäischen und Internationalen Flüchtlingsrechts</t>
  </si>
  <si>
    <t>Thym, Daniel</t>
  </si>
  <si>
    <t>Studying Film with André Bazin</t>
  </si>
  <si>
    <t>Joret, Blandine</t>
  </si>
  <si>
    <t>Religiöse Individualisierung in Historischer Perspektive / Religious Individualisation in Historical Perspective : Abschlussbericht Für Die Zweite Förderphase der Kolleg-Forschungsgruppe 1013/Final Report of the Kolleg-Forschungsgruppe 1013 for the Second Funding Period 2013-2018</t>
  </si>
  <si>
    <t>Suitner, Riccarda</t>
  </si>
  <si>
    <t>Paulus Als Erzähler? : Eine Narratologische Perspektive Auf Die Paulusbriefe</t>
  </si>
  <si>
    <t>Heilig, Christoph</t>
  </si>
  <si>
    <t>Confini, Identità, Appartenenze : Scenari Letterari e Filmici Dell'Alpe Adria</t>
  </si>
  <si>
    <t>Fabris, Angela</t>
  </si>
  <si>
    <t>Applications</t>
  </si>
  <si>
    <t>Die Graphematik der Morpheme Im Deutschen und Englischen</t>
  </si>
  <si>
    <t>Berg, Kristian</t>
  </si>
  <si>
    <t>Geistliche Liederdichter Zwischen Liturgie und Volkssprache : Übertragungen, Bearbeitungen, Neuschöpfungen in Mittelalter und Früher Neuzeit</t>
  </si>
  <si>
    <t>Kraß, Andreas</t>
  </si>
  <si>
    <t>The Summa Halensis : Sources and Context</t>
  </si>
  <si>
    <t>Beijing Garbage : A City Besieged by Waste</t>
  </si>
  <si>
    <t>Landsberger, Stefan</t>
  </si>
  <si>
    <t>La Fine Del Mondo Nel de Rerum Natura Di Lucrezio</t>
  </si>
  <si>
    <t>Galzerano, Manuel</t>
  </si>
  <si>
    <t>Engines of Order : A Mechanology of Algorithmic Techniques</t>
  </si>
  <si>
    <t>Rieder, Bernhard</t>
  </si>
  <si>
    <t>Die Inschriften Zu Den Ludi Saeculares : Acta Ludorum Saecularium</t>
  </si>
  <si>
    <t>Schnegg, Bärbel</t>
  </si>
  <si>
    <t>Data Loam : Sometimes Hard, Usually Soft. the Future of Knowledge Systems</t>
  </si>
  <si>
    <t>Golding, Johnny</t>
  </si>
  <si>
    <t>Complex Lexical Units : Compounds and Multi-Word Expressions</t>
  </si>
  <si>
    <t>Schlücker, Barbara</t>
  </si>
  <si>
    <t>Discourse on the State of the Jews : Bilingual Edition</t>
  </si>
  <si>
    <t>Tracing the Jerusalem Code : Volume 3: the Promised Land Christian Cultures in Modern Scandinavia (ca. 1750-Ca. 1920)</t>
  </si>
  <si>
    <t>Zorgati, Ragnhild Johnsrud</t>
  </si>
  <si>
    <t>Handbook of Ancient Afro-Eurasian Economies : Volume 1: Contexts</t>
  </si>
  <si>
    <t>Reden, Sitta</t>
  </si>
  <si>
    <t>Ost-Westliche Erfahrungen der Modernität : Der Chinesisch-Deutsche Ideenaustausch und Die Bewegung des 4. Mai 1919</t>
  </si>
  <si>
    <t>Jaeger, Michael</t>
  </si>
  <si>
    <t>Wahrnehmen, Fühlen, Verstehen : Metaphorisieren und Audiovisuelle Bilder</t>
  </si>
  <si>
    <t>Schmitt, Christina</t>
  </si>
  <si>
    <t>Syntax of Dutch : Coordination and Ellipsis</t>
  </si>
  <si>
    <t>Broekhuis, Hans</t>
  </si>
  <si>
    <t>Agents' Abilities</t>
  </si>
  <si>
    <t>Jaster, Romy</t>
  </si>
  <si>
    <t>Genocide and Mass Violence in Asia : An Introductory Reader</t>
  </si>
  <si>
    <t>Jacob, Frank</t>
  </si>
  <si>
    <t>Body and Spirit in the Middle Ages : Literature, Philosophy, Medicine</t>
  </si>
  <si>
    <t>Gubbini, Gaia</t>
  </si>
  <si>
    <t>The International Labour Organization : 100 Years of Global Social Policy</t>
  </si>
  <si>
    <t>Maul, Daniel</t>
  </si>
  <si>
    <t>HORACE's SERMONES BOOK 1 : Credentials for Maecenas</t>
  </si>
  <si>
    <t>The Hirsch Institute of Tropical Medicine : Asella, Äthiopien</t>
  </si>
  <si>
    <t>Judah Halevi's Fideistic Scepticism in the Kuzari</t>
  </si>
  <si>
    <t>Krinis, Ehud</t>
  </si>
  <si>
    <t>Franz Brentano und Sein Philosophischer Nachlass</t>
  </si>
  <si>
    <t>Binder, Thomas</t>
  </si>
  <si>
    <t>Internationale Gerechtigkeit und Institutionelle Verantwortung</t>
  </si>
  <si>
    <t>Nida-Rümelin, Julian</t>
  </si>
  <si>
    <t>Excavations at Paithan, Maharashtra : Transformations in Early Historic and Early Medieval India</t>
  </si>
  <si>
    <t>Kennet, Derek</t>
  </si>
  <si>
    <t>Tractatus Mythologicus : Theorie und Methodik Zur Erforschung Von Mythen Als Grundlegung Einer Allgemeinen, Transmedialen und Komparatistischen Stoffwissenschaft</t>
  </si>
  <si>
    <t>Toward a Cognitive Classical Linguistics : The Embodied Basis of Constructions in Greek and Latin</t>
  </si>
  <si>
    <t>Mocciaro, Egle</t>
  </si>
  <si>
    <t>Der Grüne Kakadu : Historisch-Kritische Ausgabe</t>
  </si>
  <si>
    <t>Lindner, Anna</t>
  </si>
  <si>
    <t>Guimarães Rosa und Meyer-Clason : Literatur, Demokratie, ZusammenLebenswissen</t>
  </si>
  <si>
    <t>Himmelwärts / das Unbekannte Leben / Mit Dem Kopf Durch Die Wand</t>
  </si>
  <si>
    <t>Streitler-Kastberger, Nicole</t>
  </si>
  <si>
    <t>Adhesive Bonding of Aircraft Composite Structures : Non-Destructive Testing and Quality Assurance Concepts</t>
  </si>
  <si>
    <t>Leite Cavalcanti, Welchy</t>
  </si>
  <si>
    <t>Novel Plant Imaging and Analysis : Water, Elements and Gas, Utilizing Radiation and Radioisotopes</t>
  </si>
  <si>
    <t>Technology, Media Literacy, and the Human Subject : A Posthuman Approach</t>
  </si>
  <si>
    <t>Lewis, Richard S.</t>
  </si>
  <si>
    <t>Lived Nation As the History of Experiences and Emotions in Finland, 1800-2000</t>
  </si>
  <si>
    <t>Kivimäki, Ville</t>
  </si>
  <si>
    <t>Nachhaltige Stadtentwicklung : Die Umsetzung der Sustainable Development Goals Auf Kommunaler Ebene</t>
  </si>
  <si>
    <t>Koch, Florian</t>
  </si>
  <si>
    <t>Risk Quantification and Allocation Methods for Practitioners</t>
  </si>
  <si>
    <t>Belles-Sampera, Jaume</t>
  </si>
  <si>
    <t>Agile Processes in Software Engineering and Extreme Programming : 22nd International Conference on Agile Software Development, XP 2021, Virtual Event, June 14-18, 2021, Proceedings</t>
  </si>
  <si>
    <t>Gregory, Peggy</t>
  </si>
  <si>
    <t>The Psychodynamics of Enlightened Leadership : Coping with Chaos</t>
  </si>
  <si>
    <t>Mitroff, Ian I.</t>
  </si>
  <si>
    <t>Data Science for Economics and Finance : Methodologies and Applications</t>
  </si>
  <si>
    <t>Consoli, Sergio</t>
  </si>
  <si>
    <t>Curating (Post-)Socialist Environments</t>
  </si>
  <si>
    <t>Schorch, Philipp</t>
  </si>
  <si>
    <t>Der Körper als Vermittler zwischen Musik und (all)täglicher Lebenswelt : Distanzauslotungen am Beispiel ausgewählter Werke der Neuen Musik</t>
  </si>
  <si>
    <t>Schmitt-Weidmann, Karolin</t>
  </si>
  <si>
    <t>Reading Backwards : An Advance Retrospective on Russian Literature</t>
  </si>
  <si>
    <t>Langen, Timothy</t>
  </si>
  <si>
    <t>Probability in Electrical Engineering and Computer Science : An Application-Driven Course</t>
  </si>
  <si>
    <t>Walrand, Jean</t>
  </si>
  <si>
    <t>Assessing Environmental Risk of Oil Spills with ERA Acute : A New Methodology</t>
  </si>
  <si>
    <t>Stephansen, Cathrine</t>
  </si>
  <si>
    <t>Quaternion Algebras</t>
  </si>
  <si>
    <t>Voight, John</t>
  </si>
  <si>
    <t>Saving and Investment in the Twenty-First Century : The Great Divergence</t>
  </si>
  <si>
    <t>von Weizsäcker, Carl Christian</t>
  </si>
  <si>
    <t>Dekoloniale Politische Bildung : Eine Empirische Untersuchung Von Lernendenvorstellungen Zum Postkolonialen Erbe</t>
  </si>
  <si>
    <t>Kleinschmidt, Malte</t>
  </si>
  <si>
    <t>Ten Crises : The Political Economy of China's Development (1949-2020)</t>
  </si>
  <si>
    <t>Wen, Tiejun</t>
  </si>
  <si>
    <t>Post-Digital, Post-Internet Art and Education : The Future Is All-Over</t>
  </si>
  <si>
    <t>Tavin, Kevin</t>
  </si>
  <si>
    <t>Mit Geschichte spielen : Zur materiellen Kultur von Spielzeug und Spielen als Darstellung der Vergangenheit</t>
  </si>
  <si>
    <t>Kühberger, Christoph</t>
  </si>
  <si>
    <t>The Supernatural Media Virus : Virus Anxiety in Gothic Fiction Since 1990</t>
  </si>
  <si>
    <t>Schmitz, Rahel Sixta</t>
  </si>
  <si>
    <t>Infektionen und Gesellschaft : COVID-19, Frühere und Zukünftige Herausforderungen Durch Pandemien</t>
  </si>
  <si>
    <t>Lohse, Ansgar W.</t>
  </si>
  <si>
    <t>Open Government Data As a Reform and Ecosystem : A Conceptual Framework for Evolution and Health</t>
  </si>
  <si>
    <t>Crusoe, Jonathan</t>
  </si>
  <si>
    <t>Shared Physical Custody : Interdisciplinary Insights in Child Custody Arrangements</t>
  </si>
  <si>
    <t>Multimodal Texts in Disciplinary Education : A Comprehensive Framework</t>
  </si>
  <si>
    <t>Danielsson, Kristina</t>
  </si>
  <si>
    <t>Rethinking Sustainability Towards a Regenerative Economy</t>
  </si>
  <si>
    <t>Andreucci, Maria Beatrice</t>
  </si>
  <si>
    <t>Shaping an Inclusive Energy Transition</t>
  </si>
  <si>
    <t>Weijnen, Margot P. C.</t>
  </si>
  <si>
    <t>The Elements of Big Data Value : Foundations of the Research and Innovation Ecosystem</t>
  </si>
  <si>
    <t>The Palgrave Handbook of Positive Education</t>
  </si>
  <si>
    <t>Kern, Margaret L.</t>
  </si>
  <si>
    <t>Transnational Legal Activism in Global Value Chains : The Ali Enterprises Factory Fire and the Struggle for Justice</t>
  </si>
  <si>
    <t>Saage-Maaß, Miriam</t>
  </si>
  <si>
    <t>Benefit/Cost-Driven Software Development : With Benefit Points and Size Points</t>
  </si>
  <si>
    <t>Hannay, Jo Erskine</t>
  </si>
  <si>
    <t>Rethinking Nordic Courts</t>
  </si>
  <si>
    <t>Ervo, Laura</t>
  </si>
  <si>
    <t>Automated Deduction - CADE 28 : 28th International Conference on Automated Deduction, Virtual Event, July 12-15, 2021, Proceedings</t>
  </si>
  <si>
    <t>Platzer, André</t>
  </si>
  <si>
    <t>The Once-Only Principle : The TOOP Project</t>
  </si>
  <si>
    <t>Krimmer, Robert</t>
  </si>
  <si>
    <t>Datensouveränität : Governance-Ansätze Für Den Gesundheitsbereich</t>
  </si>
  <si>
    <t>Hummel, Patrik</t>
  </si>
  <si>
    <t>Gerechter Frieden : Im Spannungsfeld Zwischen Ziviler Konfliktbearbeitung und Rechtserhaltender Gewalt</t>
  </si>
  <si>
    <t>Werkner, Ines-Jacqueline</t>
  </si>
  <si>
    <t>Pflege-Report 2021 : Sicherstellung der Pflege: Bedarfslagen und Angebotsstrukturen</t>
  </si>
  <si>
    <t>Towards an Ethics of Autism : A Philosophical Exploration</t>
  </si>
  <si>
    <t>Hens, Kristien</t>
  </si>
  <si>
    <t>Human Cultures Through the Scientific Lens : Essays in Evolutionary Cognitive Anthropology</t>
  </si>
  <si>
    <t>Boyer, Pascal</t>
  </si>
  <si>
    <t>Measuring Professional Competence for the Teaching of Mathematical Modelling : A Test Instrument</t>
  </si>
  <si>
    <t>Wess, Raphael</t>
  </si>
  <si>
    <t>Abschlusspolitische Ergebnisspaltungen Mit Aufgegebenen Geschäftsbereichen Nach IFRS 5 : Existenz und Prävention</t>
  </si>
  <si>
    <t>Czupalla, Kai</t>
  </si>
  <si>
    <t>Financing Clean Energy Access in Sub-Saharan Africa : Risk Mitigation Strategies and Innovative Financing Structures</t>
  </si>
  <si>
    <t>Michoud, Bruno</t>
  </si>
  <si>
    <t>Computer Aided Verification : 33rd International Conference, CAV 2021, Virtual Event, July 20-23, 2021, Proceedings, Part I</t>
  </si>
  <si>
    <t>Silva, Alexandra</t>
  </si>
  <si>
    <t>Computer Aided Verification : 33rd International Conference, CAV 2021, Virtual Event, July 20-23, 2021, Proceedings, Part II</t>
  </si>
  <si>
    <t>Games Without Frontiers? : Socio-Historical Perspectives at the Gaming/Gambling Intersection</t>
  </si>
  <si>
    <t>Wardle, Heather</t>
  </si>
  <si>
    <t>The German Chambers of Commerce and Industry : Self-Governance, Service, the General Representation of Interests and the Dual System of Professional Education</t>
  </si>
  <si>
    <t>Sasse, Eberhard</t>
  </si>
  <si>
    <t>(un)doing Gender Empirisch : Qualitative Forschung in der Kita</t>
  </si>
  <si>
    <t>Nentwich, Julia C.</t>
  </si>
  <si>
    <t>Entrepreneurial Strategy : Starting, Managing, and Scaling New Ventures</t>
  </si>
  <si>
    <t>Shepherd, Dean A.</t>
  </si>
  <si>
    <t>Organizing for Sustainability : A Guide to Developing New Business Models</t>
  </si>
  <si>
    <t>Jonker, Jan</t>
  </si>
  <si>
    <t>Brain-Inspired Computing : 4th International Workshop, BrainComp 2019, Cetraro, Italy, July 15-19, 2019, Revised Selected Papers</t>
  </si>
  <si>
    <t>Amunts, Katrin</t>
  </si>
  <si>
    <t>Logistische Regression : Eine Anwendungsorientierte Einführung Mit R</t>
  </si>
  <si>
    <t>Kalisch, Markus</t>
  </si>
  <si>
    <t>Outdoor Learning and Play : Pedagogical Practices and Children's Cultural Formation</t>
  </si>
  <si>
    <t>Grindheim, Liv Torunn</t>
  </si>
  <si>
    <t>Elevers Möten Med Matematik : En Studie Om Elevers Möten Med Matematik I Förskoleklass Och årskurs 1</t>
  </si>
  <si>
    <t>Arnell, Sofie</t>
  </si>
  <si>
    <t>Local Conditions for Long Cycles in Graphs</t>
  </si>
  <si>
    <t>Granholm, Jonas B.</t>
  </si>
  <si>
    <t>Representationer Av Tal I Bråkform : En Studie Om Matematikundervisning På Mellanstadiet</t>
  </si>
  <si>
    <t>Sveider, Cecilia</t>
  </si>
  <si>
    <t>Digital Support for People with Cognitive Impairment : An Intervention to Increase the Occupational Performance in Everyday Life</t>
  </si>
  <si>
    <t>Andreassen, Maria</t>
  </si>
  <si>
    <t>Identification of Young People at Risk of Sexual Ill Health : Implementing a New Tool in Youth Clinics</t>
  </si>
  <si>
    <t>Hammarström, Sofia</t>
  </si>
  <si>
    <t>Learning Representations for Segmentation and Registration</t>
  </si>
  <si>
    <t>Järemo Lawin, Felix</t>
  </si>
  <si>
    <t>The Data Journalism Handbook : Towards a Critical Data Practice</t>
  </si>
  <si>
    <t>Bounegru, Liliana</t>
  </si>
  <si>
    <t>Co-Governed Sovereignty Network : Legal Basis and Its Prototype and Applications with MIN Architecture</t>
  </si>
  <si>
    <t>Li, Hui</t>
  </si>
  <si>
    <t>Architectonics of Game Spaces : The Spatial Logic of the Virtual and Its Meaning for the Real</t>
  </si>
  <si>
    <t>Gerber, Andri</t>
  </si>
  <si>
    <t>Vom Publicum : Das Öffentliche in der Kunst</t>
  </si>
  <si>
    <t>Kammerer, Dietmar</t>
  </si>
  <si>
    <t>Political Responsibility for a Globalised World : After Levinas' Humanism</t>
  </si>
  <si>
    <t>Wolff, Ernst</t>
  </si>
  <si>
    <t>Manifeste : Geschichte und Gegenwart des politischen Appells</t>
  </si>
  <si>
    <t>Das übergangene Wissen : Eine dekoloniale Kritik des liberalen Peacebuilding durch basispolitische Organisationen in Afghanistan</t>
  </si>
  <si>
    <t>Exo, Mechthild</t>
  </si>
  <si>
    <t>Non-Canonical Control in a Cross-linguistic Perspective</t>
  </si>
  <si>
    <t>Mucha, Anne</t>
  </si>
  <si>
    <t>Introduction to Space Syntax in Urban Studies</t>
  </si>
  <si>
    <t>van Nes, Akkelies</t>
  </si>
  <si>
    <t>Embodying Black Religions in Africa and Its Diasporas</t>
  </si>
  <si>
    <t>What Works in Conservation : 2021</t>
  </si>
  <si>
    <t>Politics and the Environment in Eastern Europe</t>
  </si>
  <si>
    <t>Krasznai Kovacs, Eszter</t>
  </si>
  <si>
    <t>Ray Tracing Gems II : Next Generation Real-Time Rendering with DXR, Vulkan, and OptiX</t>
  </si>
  <si>
    <t>Marrs, Adam</t>
  </si>
  <si>
    <t>Visual Methodology in Migration Studies : New Possibilities, Theoretical Implications, and Ethical Questions</t>
  </si>
  <si>
    <t>Nikielska-Sekula, Karolina</t>
  </si>
  <si>
    <t>Improving Interagency Collaboration, Innovation and Learning in Criminal Justice Systems : Supporting Offender Rehabilitation</t>
  </si>
  <si>
    <t>Hean, Sarah</t>
  </si>
  <si>
    <t>Augmented Humanity : Being and Remaining Agentic in a Digitalized World</t>
  </si>
  <si>
    <t>Bryant, Peter T.</t>
  </si>
  <si>
    <t>Mehrsprachige Pflegebedürftige in Deutschen Pflegeheimen und das Projekt Unvergessen : Studierende an der Schnittstelle Von Forschung und Gesellschaft</t>
  </si>
  <si>
    <t>Karl, Katrin Bente</t>
  </si>
  <si>
    <t>Concepts in Action : Representation, Learning, and Application</t>
  </si>
  <si>
    <t>Bechberger, Lucas</t>
  </si>
  <si>
    <t>Between Peace and Conflict in the East and the West : Studies on Transformation and Development in the OSCE Region</t>
  </si>
  <si>
    <t>Mihr, Anja</t>
  </si>
  <si>
    <t>Time-Resolved CVD of Group 13-Nitrides</t>
  </si>
  <si>
    <t>Rouf, Polla</t>
  </si>
  <si>
    <t>Genealogie der Ethikpolitik : Nationale Ethikkomitees als neue Regierungstechnologie. Das Beispiel Frankreichs</t>
  </si>
  <si>
    <t>Könninger, Sabine</t>
  </si>
  <si>
    <t>Asyl verwalten : Zur bürokratischen Bearbeitung eines gesellschaftlichen Problems</t>
  </si>
  <si>
    <t>Regieren: Die Geschichte einer Zumutung</t>
  </si>
  <si>
    <t>Fach, Wolfgang</t>
  </si>
  <si>
    <t>Solidarische Ökonomie als Lebensform : Berliner Akteure des alternativen Wirtschaftens im Porträt</t>
  </si>
  <si>
    <t>Ronge, Bastian</t>
  </si>
  <si>
    <t>Politische Konsumentinnen im Social Web : Praktiken der Vermittlung zwischen Bürger- und Verbraucheridentität</t>
  </si>
  <si>
    <t>Witterhold, Katharina</t>
  </si>
  <si>
    <t>»Alles Frankreich oder was?« - Die saarländische Frankreichstrategie im europäischen Kontext / »La France à toutes les sauces?« - La ›Stratégie France‹ de la Sarre dans le contexte européen : Interdisziplinäre Zugänge und kritische Perspektiven / Approches interdisciplinaires et perspectives critiques</t>
  </si>
  <si>
    <t>Lüsebrink, Hans-Jürgen</t>
  </si>
  <si>
    <t>Rechtspopulismus und Hegemonie : Der Aufstieg der SVP und die diskursive Transformation der politischen Schweiz</t>
  </si>
  <si>
    <t>Hildebrand, Marius</t>
  </si>
  <si>
    <t>Globalisierung im Zwiespalt : Die postglobale Misere und Wege, sie zu bewältigen</t>
  </si>
  <si>
    <t>Turek, Jürgen</t>
  </si>
  <si>
    <t>Demokratie ohne Grund - kein Grund für Demokratie? : Zum Verhältnis von Demokratie und Poststrukturalismus</t>
  </si>
  <si>
    <t>Sievi, Luzia</t>
  </si>
  <si>
    <t>Die Regierung der Gesundheit : Fragmente einer Genealogie liberaler Gouvernementalität</t>
  </si>
  <si>
    <t>Poczka, Irene</t>
  </si>
  <si>
    <t>Okulare Demokratie : Der Bürger als Zuschauer</t>
  </si>
  <si>
    <t>Hammer, Dominik</t>
  </si>
  <si>
    <t>Healthcare as a Human Rights Issue : Normative Profile, Conflicts and Implementation</t>
  </si>
  <si>
    <t>Klotz, Sabine</t>
  </si>
  <si>
    <t>Solidarität und Solidarismus : Postliberale Suchbewegungen zur normativen Selbstverständigung moderner Gesellschaften</t>
  </si>
  <si>
    <t>Kracht, Hermann-Josef Große</t>
  </si>
  <si>
    <t>DiverCity - Global Cities as a Literary Phenomenon : Toronto, New York, and Los Angeles in a Globalizing Age</t>
  </si>
  <si>
    <t>Pooch, Melanie U.</t>
  </si>
  <si>
    <t>TafelGesellschaft : Zum neuen Umgang mit Überfluss und Ausgrenzung</t>
  </si>
  <si>
    <t>Lorenz, Stephan</t>
  </si>
  <si>
    <t>Teaching Media : Medientheorie für die Schulpraxis - Grundlagen, Beispiele, Perspektiven</t>
  </si>
  <si>
    <t>Kampmann, Elisabeth</t>
  </si>
  <si>
    <t>Von der Frühverrentung bis zur Rente mit 67 : Der Wandel des Altersübergangs von 1990 bis 2012</t>
  </si>
  <si>
    <t>Brussig, Martin</t>
  </si>
  <si>
    <t>Bonded Labour : Global and Comparative Perspectives (18th-21st Century)</t>
  </si>
  <si>
    <t>Damir-Geilsdorf, Sabine</t>
  </si>
  <si>
    <t>Protest und Selbstbeschreibung : Selbstbezüglichkeit und Umweltverhältnisse sozialer Bewegungen</t>
  </si>
  <si>
    <t>Tratschin, Luca</t>
  </si>
  <si>
    <t>Algorithmuskulturen : Über die rechnerische Konstruktion der Wirklichkeit</t>
  </si>
  <si>
    <t>Seyfert, Robert</t>
  </si>
  <si>
    <t>Religiöse Sozialisation in muslimischen Familien : Eine vergleichende Studie</t>
  </si>
  <si>
    <t>Uygun-Altunbas, Ayse</t>
  </si>
  <si>
    <t>Congoism : Congo Discourses in the United States from 1800 to the Present</t>
  </si>
  <si>
    <t>Hove, Johnny Van</t>
  </si>
  <si>
    <t>Digital Media and Textuality : From Creation to Archiving</t>
  </si>
  <si>
    <t>Maduro, Daniela Côrtes</t>
  </si>
  <si>
    <t>Squatting in Rio de Janeiro : Constructing Citizenship and Gender from Below</t>
  </si>
  <si>
    <t>Wittger, Bea</t>
  </si>
  <si>
    <t>»Hate Speech« und Verletzbarkeit im digitalen Zeitalter : Phänomene mediatisierter Missachtung aus Perspektive der Gender Media Studies</t>
  </si>
  <si>
    <t>Eickelmann, Jennifer</t>
  </si>
  <si>
    <t>Migration and (Im)Mobility : Biographical Experiences of Polish Migrants in Germany and Canada</t>
  </si>
  <si>
    <t>Wieczorek, Anna Xymena</t>
  </si>
  <si>
    <t>History's Queer Stories : Retrieving and Navigating Homosexuality in British Fiction about the Second World War</t>
  </si>
  <si>
    <t>Nobitz, Natalie Marena</t>
  </si>
  <si>
    <t>Ambivalenzen des Alltags : Neuorientierungen für eine Theorie des Politischen</t>
  </si>
  <si>
    <t>Bargetz, Brigitte</t>
  </si>
  <si>
    <t>Normed Children : Effects of Gender and Sex Related Normativity on Childhood and Adolescence</t>
  </si>
  <si>
    <t>Schneider, Erik</t>
  </si>
  <si>
    <t>Ästhetiken in Kindheit und Jugend : Sozialisation im Spannungsfeld von Kreativität, Konsum und Distinktion</t>
  </si>
  <si>
    <t>Schinkel, Sebastian</t>
  </si>
  <si>
    <t>Die medizinische Versorgung von Menschen ohne Papiere in Deutschland : Studien zur Praxis in Gesundheitsämtern und Krankenhäusern</t>
  </si>
  <si>
    <t>Mylius, Maren</t>
  </si>
  <si>
    <t>Das Sozialpolitische Prinzip : Die eigene Kraft des Sozialen an den Grenzen des Wohlfahrtsstaats</t>
  </si>
  <si>
    <t>Böhnisch, Lothar</t>
  </si>
  <si>
    <t>Musicians' Mobilities and Music Migrations in Early Modern Europe : Biographical Patterns and Cultural Exchanges</t>
  </si>
  <si>
    <t>Nieden, Gesa zur</t>
  </si>
  <si>
    <t>Phänomen Hörbuch : Interdisziplinäre Perspektiven und medialer Wandel</t>
  </si>
  <si>
    <t>Liebe und Macht in der deutsch-amerikanischen Sicherheitsbeziehung 2001-2003 : Eine kritisch-realistische Diskursanalyse</t>
  </si>
  <si>
    <t>Griebel, Tim</t>
  </si>
  <si>
    <t>Power Relations in Black Lives : Reading African American Literature and Culture with Bourdieu and Elias</t>
  </si>
  <si>
    <t>Buschendorf, Christa</t>
  </si>
  <si>
    <t>Imagining Earth : Concepts of Wholeness in Cultural Constructions of Our Home Planet</t>
  </si>
  <si>
    <t>Nitzke, Solvejg</t>
  </si>
  <si>
    <t>Gewerkschaftsmacht und ihre Grenzen : Die ÖTV und ihr Vorsitzender Heinz Kluncker 1964-1982</t>
  </si>
  <si>
    <t>Führer, Karl Christian</t>
  </si>
  <si>
    <t>Menschenwürde als heilige Ordnung : Eine Re-Konstruktion sozialer Exklusion im Lichte der Sakralität der personalen Würde</t>
  </si>
  <si>
    <t>Schulz-Nieswandt, Frank</t>
  </si>
  <si>
    <t>Landscapes of Music in Istanbul : A Cultural Politics of Place and Exclusion</t>
  </si>
  <si>
    <t>Papadopoulos, Alex G.</t>
  </si>
  <si>
    <t>Neuer Nationalismus im östlichen Europa : Kulturwissenschaftliche Perspektiven</t>
  </si>
  <si>
    <t>Götz, Irene</t>
  </si>
  <si>
    <t>Imagining Ageing : Representations of Age and Ageing in Anglophone Literatures</t>
  </si>
  <si>
    <t>Concilio, Carmen</t>
  </si>
  <si>
    <t>Nichtregierungsorganisationen, soziale Bewegungen und Global Governance : Eine kritische Bestandsaufnahme</t>
  </si>
  <si>
    <t>Stickler, Armin</t>
  </si>
  <si>
    <t>Der Irak-Krieg und die Zukunft Europas</t>
  </si>
  <si>
    <t>Rechte nationaler Minderheiten : Ethische Begründung, rechtliche Verankerung und historische Erfahrung</t>
  </si>
  <si>
    <t>WeltWissen : Entwicklungszusammenarbeit in der Weltgesellschaft</t>
  </si>
  <si>
    <t>Kaiser, Markus</t>
  </si>
  <si>
    <t>Der Sicherheitsdiskurs : Die Innere Sicherheitspolitik und ihre Kritik</t>
  </si>
  <si>
    <t>Kunz, Thomas</t>
  </si>
  <si>
    <t>Demokratie und Transzendenz : Die Begründung politischer Ordnungen</t>
  </si>
  <si>
    <t>Vorländer, Hans</t>
  </si>
  <si>
    <t>Gewerkschaftsdämmerung : Geschichte und Perspektiven deutscher Gewerkschaften</t>
  </si>
  <si>
    <t>Lorenz, Robert</t>
  </si>
  <si>
    <t>Die Politik der Echokammer : Wisconsin und die ideologische Polarisierung der USA</t>
  </si>
  <si>
    <t>Lütjen, Torben</t>
  </si>
  <si>
    <t>Soziale Aktivierung von Arbeitslosen? : Praktiken und Deutungen eines neuen Arbeitsmarktinstruments</t>
  </si>
  <si>
    <t>Freier, Carolin</t>
  </si>
  <si>
    <t>Negotiating the Borders of the Gender Regime : Developments and Debates on Trans(sexuality) in the Federal Republic of Germany</t>
  </si>
  <si>
    <t>Silva, Adrian de</t>
  </si>
  <si>
    <t>Die Türkei und das andere Europa : Phantasmen der Identität im Beitrittsdiskurs</t>
  </si>
  <si>
    <t>Küçük, Bülent</t>
  </si>
  <si>
    <t>Workfare in den USA : Das Elend der US-amerikanischen Sozialhilfepolitik</t>
  </si>
  <si>
    <t>Professionalisierung der wissenschaftlichen Politikberatung? : Interaktions- und professionssoziologische Perspektiven</t>
  </si>
  <si>
    <t>Buchholz, Kai</t>
  </si>
  <si>
    <t>Die EU und der Rückzug des Staates : Eine Genealogie der Neoliberalisierung der europäischen Integration</t>
  </si>
  <si>
    <t>Karrass, Anne</t>
  </si>
  <si>
    <t>Kontrollierte Urbanität : Zur Neoliberalisierung städtischer Sicherheitspolitik</t>
  </si>
  <si>
    <t>Eick, Volker</t>
  </si>
  <si>
    <t>Politik mit dem Einkaufswagen : Unternehmen und Konsumenten als Bürger in der globalen Mediengesellschaft</t>
  </si>
  <si>
    <t>Baringhorst, Sigrid</t>
  </si>
  <si>
    <t>Rationalitäten der Gewalt : Staatliche Neuordnungen vom 19. bis zum 21. Jahrhundert</t>
  </si>
  <si>
    <t>Krasmann, Susanne</t>
  </si>
  <si>
    <t>Governance der Kreativwirtschaft : Diagnosen und Handlungsoptionen</t>
  </si>
  <si>
    <t>Lange, Bastian</t>
  </si>
  <si>
    <t>System Beratung : Politikberater zwischen Anspruch und Realität</t>
  </si>
  <si>
    <t>Steiner, Adrian</t>
  </si>
  <si>
    <t>Die Entwicklung von Sicherheit : Entwicklungspolitische Programme der USA und Deutschlands im Grenzbereich zur Sicherheitspolitik</t>
  </si>
  <si>
    <t>Pospisil, Jan</t>
  </si>
  <si>
    <t>Kritik der transnationalen Gewalt : Souveränität, Menschenrechte und Demokratie im Übergang zur Weltgesellschaft</t>
  </si>
  <si>
    <t>Christophersen, Claas</t>
  </si>
  <si>
    <t>Eine andere Welt ist möglich - ohne Antisemitismus? : Antisemitismus und Globalisierungskritik bei Attac</t>
  </si>
  <si>
    <t>Knothe, Holger</t>
  </si>
  <si>
    <t>Politik der Unentschiedenheit : Die internationale Politik und ihr Umgang mit Kriegsflüchtlingen</t>
  </si>
  <si>
    <t>Misselwitz, Margarete</t>
  </si>
  <si>
    <t>Sicherheit und Risiko : Über den Umgang mit Gefahr im 21. Jahrhundert</t>
  </si>
  <si>
    <t>Münkler, Herfried</t>
  </si>
  <si>
    <t>Handeln unter Risiko : Gestaltungsansätze zwischen Wagnis und Vorsorge</t>
  </si>
  <si>
    <t>Doing Identity in Luxemburg : Subjektive Aneignungen - institutionelle Zuschreibungen - sozio-kulturelle Milieus</t>
  </si>
  <si>
    <t>IPSE - Identités Politiques Sociétés Espaces</t>
  </si>
  <si>
    <t>Totalitarian Communication : Hierarchies, Codes and Messages</t>
  </si>
  <si>
    <t>Postoutenko, Kirill</t>
  </si>
  <si>
    <t>Integration von Zuwanderern : Erfahrungen, Konzepte, Perspektiven</t>
  </si>
  <si>
    <t>Luft, Stefan</t>
  </si>
  <si>
    <t>Reflexionsspiele : Deliberative Demokratie und die Wirklichkeit politischer Diskurse im Internet</t>
  </si>
  <si>
    <t>Albrecht, Steffen</t>
  </si>
  <si>
    <t>Europa zwischen Fiktion und Realpolitik/L'Europe - fictions et réalités politiques</t>
  </si>
  <si>
    <t>Marti, Roland</t>
  </si>
  <si>
    <t>Prostitution und Menschenhandel als Verwaltungsproblem : Eine qualitative Untersuchung über den beruflichen Habitus</t>
  </si>
  <si>
    <t>Vorheyer, Claudia</t>
  </si>
  <si>
    <t>Creative Networks and the City : Towards a Cultural Political Economy of Aesthetic Production</t>
  </si>
  <si>
    <t>Heur, Bas van</t>
  </si>
  <si>
    <t>Sakrale Geographie : Essay über den modernen Dschihad und seine Räume</t>
  </si>
  <si>
    <t>Heidenreich, Elisabeth</t>
  </si>
  <si>
    <t>Die soziale Magie politischer Repräsentation : Charisma und Anerkennung in der Zivilgesellschaft</t>
  </si>
  <si>
    <t>Jentges, Erik</t>
  </si>
  <si>
    <t>Die politische Ordnung des Flüchtlingslagers : Akteure - Macht - Organisation. Eine Ethnographie im Südlichen Afrika</t>
  </si>
  <si>
    <t>Inhetveen, Katharina</t>
  </si>
  <si>
    <t>Doing Anthropology in Wartime and War Zones : World War I and the Cultural Sciences in Europe</t>
  </si>
  <si>
    <t>Johler, Reinhard</t>
  </si>
  <si>
    <t>Zivile Sicherheit : Gesellschaftliche Dimensionen gegenwärtiger Sicherheitspolitiken</t>
  </si>
  <si>
    <t>Zoche, Peter</t>
  </si>
  <si>
    <t>Außenkulturpolitik : Internationale Beziehungen und kultureller Austausch</t>
  </si>
  <si>
    <t>Schreiner, Patrick</t>
  </si>
  <si>
    <t>Entbehrliche der Bürgergesellschaft? : Sozial Benachteiligte und Engagement</t>
  </si>
  <si>
    <t>Kritik und Leidenschaft : Vom Umgang mit politischen Ideen</t>
  </si>
  <si>
    <t>Otten, Henrique Ricardo</t>
  </si>
  <si>
    <t>Das Europa der Europäer : Über die Wahrnehmungen eines politischen Raums</t>
  </si>
  <si>
    <t>Gaxie, Daniel</t>
  </si>
  <si>
    <t>Historicizing the Uses of the Past : Scandinavian Perspectives on History Culture, Historical Consciousness and Didactics of History Related to World War II</t>
  </si>
  <si>
    <t>Bjerg, Helle</t>
  </si>
  <si>
    <t>Doing Identity in Luxembourg : Subjective Appropriations - Institutional Attributions - Socio-Cultural Milieus</t>
  </si>
  <si>
    <t>Protest der Physiker : Die »Göttinger Erklärung« von 1957</t>
  </si>
  <si>
    <t>Fraktale Sicherheiten : Eine Kritik der kommunalen Kriminalprävention</t>
  </si>
  <si>
    <t>Schreiber, Verena</t>
  </si>
  <si>
    <t>Workfare als Mindestsicherung : Von der Sozialhilfe zu Hartz IV. Deutsche Sozialpolitik 1962 bis 2005</t>
  </si>
  <si>
    <t>Brütt, Christian</t>
  </si>
  <si>
    <t>Cultural History in Europe : Institutions - Themes - Perspectives</t>
  </si>
  <si>
    <t>Rogge, Jörg</t>
  </si>
  <si>
    <t>Europa zwischen Grenzkontrolle und Flüchtlingsschutz : Eine Ethnographie der Seegrenze auf dem Mittelmeer</t>
  </si>
  <si>
    <t>Klepp, Silja</t>
  </si>
  <si>
    <t>Emerging Bodies : The Performance of Worldmaking in Dance and Choreography</t>
  </si>
  <si>
    <t>Klein, Gabriele</t>
  </si>
  <si>
    <t>Glaubensfragen in Europa : Religion und Politik im Konflikt</t>
  </si>
  <si>
    <t>Ariëns, Elke</t>
  </si>
  <si>
    <t>Medien - Diskurs - Weltpolitik : Wie Massenmedien die internationale Politik beeinflussen</t>
  </si>
  <si>
    <t>Brand, Alexander</t>
  </si>
  <si>
    <t>Homo militaris : Perspektiven einer kritischen Militärsoziologie</t>
  </si>
  <si>
    <t>Hagen, Ulrich vom</t>
  </si>
  <si>
    <t>Generation und Geltung : Von den »45ern« zur »Generation Praktikum« - übersehene und etablierte Generationen im Vergleich</t>
  </si>
  <si>
    <t>Tafeln im flexiblen Überfluss : Ambivalenzen sozialen und ökologischen Engagements</t>
  </si>
  <si>
    <t>Past and Present Energy Societies : How Energy Connects Politics, Technologies and Cultures</t>
  </si>
  <si>
    <t>Möllers, Nina</t>
  </si>
  <si>
    <t>Hegemonie und Populismus in Putins Russland : Eine Analyse des russischen politischen Diskurses</t>
  </si>
  <si>
    <t>Casula, Philipp</t>
  </si>
  <si>
    <t>Migration als Bildungsherausforderung : Subjektivierung und Diskriminierung im Spiegel von Migrationsbiographien</t>
  </si>
  <si>
    <t>Rose, Nadine</t>
  </si>
  <si>
    <t>Reconciliation, Civil Society, and the Politics of Memory : Transnational Initiatives in the 20th and 21st Century</t>
  </si>
  <si>
    <t>Schwelling, Birgit</t>
  </si>
  <si>
    <t>Feminist Media : Participatory Spaces, Networks and Cultural Citizenship</t>
  </si>
  <si>
    <t>Zobl, Elke</t>
  </si>
  <si>
    <t>Heimatdiskurs : Wie die Auslandseinsätze der Bundeswehr Deutschland verändern</t>
  </si>
  <si>
    <t>Daxner, Michael</t>
  </si>
  <si>
    <t>Lernen in Bewegung(en) : Politische Partizipation und Bildung in Bürgerinitiativen</t>
  </si>
  <si>
    <t>Trumann, Jana</t>
  </si>
  <si>
    <t>Das Ringen um die Zivilgesellschaft in der Türkei : Intellektuelle Diskurse, oppositionelle Gruppen und Soziale Bewegungen seit 1980</t>
  </si>
  <si>
    <t>Al-Rebholz, Anil</t>
  </si>
  <si>
    <t>Multikulturalität in Europa : Teilhabe in der Einwanderungsgesellschaft</t>
  </si>
  <si>
    <t>Does War Belong in Museums? : The Representation of Violence in Exhibitions</t>
  </si>
  <si>
    <t>Muchitsch, Wolfgang</t>
  </si>
  <si>
    <t>Soundscapes of the Urban Past : Staged Sound as Mediated Cultural Heritage</t>
  </si>
  <si>
    <t>Bijsterveld, Karin</t>
  </si>
  <si>
    <t>Wir sind die Medien : Internet und politischer Wandel in Iran</t>
  </si>
  <si>
    <t>Fragmentierte Nation - globalisierte Region? : Der baskische und katalanische Nationalismus im Kontext von Globalisierung und europäischer Integration</t>
  </si>
  <si>
    <t>Eser, Patrick</t>
  </si>
  <si>
    <t>Die Machbarkeit politischer Ordnung : Transzendenz und Konstruktion</t>
  </si>
  <si>
    <t>Patzelt, Werner J.</t>
  </si>
  <si>
    <t>Was kann der Staat? : Eine Analyse der rot-grünen Reformen in der Sozialpolitik</t>
  </si>
  <si>
    <t>Meyer, Hendrik</t>
  </si>
  <si>
    <t>Wounds and Words : Childhood and Family Trauma in Romantic and Postmodern Fiction</t>
  </si>
  <si>
    <t>Schönfelder, Christa</t>
  </si>
  <si>
    <t>Demokratie morgen : Überlegungen aus Wissenschaft und Politik</t>
  </si>
  <si>
    <t>Borders and Border Regions in Europe : Changes, Challenges and Chances</t>
  </si>
  <si>
    <t>Lechevalier, Arnaud</t>
  </si>
  <si>
    <t>Aufbruch ins Unversicherbare : Zum Katastrophendiskurs der Gegenwart</t>
  </si>
  <si>
    <t>Hempel, Leon</t>
  </si>
  <si>
    <t>Transnational Organized Crime : Analyses of a Global Challenge to Democracy</t>
  </si>
  <si>
    <t>Heinrich-Böll-Stiftung</t>
  </si>
  <si>
    <t>Fashion Myths : A Cultural Critique</t>
  </si>
  <si>
    <t>Meinhold, Roman</t>
  </si>
  <si>
    <t>Neubesetzungen des Kunst-Raumes : Feministische Kunstausstellungen und ihre Räume, 1972-1987</t>
  </si>
  <si>
    <t>Kaiser, Monika</t>
  </si>
  <si>
    <t>Moderieren im Museum : Theorie und Praxis der dialogischen Besucherführung</t>
  </si>
  <si>
    <t>Schrübbers, Christiane</t>
  </si>
  <si>
    <t>»Welcome to Europe« - Die Grenzen des europäischen Migrationsrechts : Juridische Auseinandersetzungen um das »Staatsprojekt Europa«</t>
  </si>
  <si>
    <t>Buckel, Sonja</t>
  </si>
  <si>
    <t>Spaces of the Poor : Perspectives of Cultural Sciences on Urban Slum Areas and Their Inhabitants</t>
  </si>
  <si>
    <t>Petersen, Hans-Christian</t>
  </si>
  <si>
    <t>The Transatlantic Sixties : Europe and the United States in the Counterculture Decade</t>
  </si>
  <si>
    <t>Kosc, Grzegorz</t>
  </si>
  <si>
    <t>Zuteilungskriterien im Gesundheitswesen: Grenzen und Alternativen : Eine Einführung mit medizinethischen und philosophischen Verortungen</t>
  </si>
  <si>
    <t>Dengler, Kathrin</t>
  </si>
  <si>
    <t>Wahrheit und Nützlichkeit : Selbstbeschreibungen der Wissenschaft zwischen Autonomie und gesellschaftlicher Relevanz</t>
  </si>
  <si>
    <t>Kaldewey, David</t>
  </si>
  <si>
    <t>Leistung : Das Endstadium der Ideologie</t>
  </si>
  <si>
    <t>Distelhorst, Lars</t>
  </si>
  <si>
    <t>Gender in Science and Technology : Interdisciplinary Approaches</t>
  </si>
  <si>
    <t>Ernst, Waltraud</t>
  </si>
  <si>
    <t>Alternative Economies and Spaces : New Perspectives for a Sustainable Economy</t>
  </si>
  <si>
    <t>Die Indigenenbewegung in Ecuador : Diskurs und Dekolonialität</t>
  </si>
  <si>
    <t>Altmann, Philipp</t>
  </si>
  <si>
    <t>Grenzen der Grenzüberschreitung : Zur »Übersetzungsleistung« deutsch-tschechischer Grenzorganisationen</t>
  </si>
  <si>
    <t>Engel, Nicolas</t>
  </si>
  <si>
    <t>From Mutual Observation to Propaganda War : Premodern Revolts in Their Transnational Representations</t>
  </si>
  <si>
    <t>Griesse, Malte</t>
  </si>
  <si>
    <t>1964 - das Jahr, mit dem »68« begann</t>
  </si>
  <si>
    <t>Die Sicherheit der Menschenrechte : Bekämpfung des Menschenhandels zwischen Sicherheitspolitik und Menschenrechtsschutz</t>
  </si>
  <si>
    <t>Uhl, Bärbel Heide</t>
  </si>
  <si>
    <t>Der Wille zum Subjekt : Zur Genealogie politischer Inklusion in Frankreich (16.-20. Jahrhundert)</t>
  </si>
  <si>
    <t>Otto, Marcus</t>
  </si>
  <si>
    <t>Kämpfe um Migrationspolitik : Theorie, Methode und Analysen kritischer Europaforschung</t>
  </si>
  <si>
    <t>Forschungsgruppe »Staatsprojekt Europa«</t>
  </si>
  <si>
    <t>Wer organisiert die »Entbehrlichen«? : Viertelgestalterinnen und Viertelgestalter in benachteiligten Stadtquartieren</t>
  </si>
  <si>
    <t>Hoeft, Christoph</t>
  </si>
  <si>
    <t>Mitte in Deutschland : Zur Vermessung eines politischen Ortes</t>
  </si>
  <si>
    <t>Marg, Stine</t>
  </si>
  <si>
    <t>Transnationalität und Öffentlichkeit : Interdisziplinäre Perspektiven</t>
  </si>
  <si>
    <t>Schmitt, Caroline</t>
  </si>
  <si>
    <t>Räume und Identitäten in Grenzregionen : Politiken - Medien - Subjekte</t>
  </si>
  <si>
    <t>Wille, Christian</t>
  </si>
  <si>
    <t>The Myths That Made America : An Introduction to American Studies</t>
  </si>
  <si>
    <t>Paul, Heike</t>
  </si>
  <si>
    <t>Die Praxis der Kreativität : Eine Ethnografie kreativer Arbeit</t>
  </si>
  <si>
    <t>Krämer, Hannes</t>
  </si>
  <si>
    <t>To Be Unfree : Republicanism and Unfreedom in History, Literature, and Philosophy</t>
  </si>
  <si>
    <t>Dahl, Christian</t>
  </si>
  <si>
    <t>(Re-)Framing the Arab/Muslim : Mediating Orientalism in Contemporary Arab American Life Writing</t>
  </si>
  <si>
    <t>Schmidt, Silke</t>
  </si>
  <si>
    <t>20 Jahre Asylkompromiss : Bilanz und Perspektiven</t>
  </si>
  <si>
    <t>Humour and Laughter in History : Transcultural Perspectives</t>
  </si>
  <si>
    <t>Cheauré, Elisabeth</t>
  </si>
  <si>
    <t>Occupy in Deutschland : Die Protestbewegung und ihre Akteure</t>
  </si>
  <si>
    <t>Geiges, Lars</t>
  </si>
  <si>
    <t>Securitization of Islam: A Vicious Circle : Counter-Terrorism and Freedom of Religion in Central Asia</t>
  </si>
  <si>
    <t>Lenz-Raymann, Kathrin</t>
  </si>
  <si>
    <t>Nach der Migration : Postmigrantische Perspektiven jenseits der Parallelgesellschaft</t>
  </si>
  <si>
    <t>Yildiz, Erol</t>
  </si>
  <si>
    <t>Gemeinwohl und Seelenheil : Die Legitimität der Trennung von Religion und Politik in der Demokratie</t>
  </si>
  <si>
    <t>Cavuldak, Ahmet</t>
  </si>
  <si>
    <t>Der deutsche »Dialog mit der islamischen Welt« : Diskurse deutscher Auswärtiger Kultur- und Bildungspolitik im Maghreb</t>
  </si>
  <si>
    <t>Ernst, Marcel</t>
  </si>
  <si>
    <t>Das utopische Europa : Die Verträge der politischen Integration Europas und ihre utopischen Elemente</t>
  </si>
  <si>
    <t>Koch, Marcus</t>
  </si>
  <si>
    <t>Das Weltsozialforum : Eine Institution der Globalisierungskritik zwischen Organisation und Bewegung</t>
  </si>
  <si>
    <t>Schröder, Christian</t>
  </si>
  <si>
    <t>Was vom Krieg übrig bleibt : Unfriedliche Beziehungen in Sierra Leone</t>
  </si>
  <si>
    <t>Menzel, Anne</t>
  </si>
  <si>
    <t>Europa, wie weiter? : Perspektiven eines Projekts in der Krise</t>
  </si>
  <si>
    <t>Brömmel, Winfried</t>
  </si>
  <si>
    <t>Fiasko - Scheitern in der Frühen Neuzeit : Beiträge zur Kulturgeschichte des Misserfolgs</t>
  </si>
  <si>
    <t>Brakensiek, Stefan</t>
  </si>
  <si>
    <t>Neue alte Rassismen? : Differenz und Exklusion in Europa nach 1989</t>
  </si>
  <si>
    <t>Drews-Sylla, Gesine</t>
  </si>
  <si>
    <t>Quo vadis, politischer Islam? : AKP, al-Qaida und Muslimbruderschaft in systemtheoretischer Perspektive</t>
  </si>
  <si>
    <t>Hasche, Thorsten</t>
  </si>
  <si>
    <t>Global Player EU? : Eine ideologiekritische Metaphernanalyse</t>
  </si>
  <si>
    <t>Bischof, Karin</t>
  </si>
  <si>
    <t>Das Hegemonieprojekt der ökologischen Modernisierung : Die Konflikte um Carbon Capture and Storage (CCS) in der internationalen Klimapolitik</t>
  </si>
  <si>
    <t>Krüger, Timmo</t>
  </si>
  <si>
    <t>City of Crisis : The Multiple Contestation of Southern European Cities</t>
  </si>
  <si>
    <t>Eckardt, Frank</t>
  </si>
  <si>
    <t>Ethnicity as a Political Resource : Conceptualizations across Disciplines, Regions, and Periods</t>
  </si>
  <si>
    <t>University of Cologne Forum »Ethnicity as a Political Resource«</t>
  </si>
  <si>
    <t>Lebenswirklichkeiten und politische Konstruktionen in Grenzregionen : Das Beispiel der Großregion SaarLorLux: Wirtschaft - Politik - Alltag - Kultur</t>
  </si>
  <si>
    <t>Legitimität : Gesellschaftliche, politische und wissenschaftliche Bruchlinien der Rechtfertigung</t>
  </si>
  <si>
    <t>Dammayr, Maria</t>
  </si>
  <si>
    <t>Serbische Vergangenheitsaufarbeitung : Normwandel und Deutungskämpfe im Umgang mit Kriegsverbrechen, 1991-2012</t>
  </si>
  <si>
    <t>Mehler, Daniela</t>
  </si>
  <si>
    <t>Formwandel der Verfassung : Die postdemokratische Verfasstheit des Transnationalen</t>
  </si>
  <si>
    <t>Möller, Kolja</t>
  </si>
  <si>
    <t>Im Leben bleiben : Unterwegs zu Demenzfreundlichen Kommunen</t>
  </si>
  <si>
    <t>Rothe, Verena</t>
  </si>
  <si>
    <t>Postsowjetische Transformationen in der Weltgesellschaft : Politische Dezentralisierung und wirtschaftliche Differenzierung im ländlichen Russland</t>
  </si>
  <si>
    <t>Armut und Engagement : Zur zivilgesellschaftlichen Partizipation von Menschen in prekären Lebenslagen</t>
  </si>
  <si>
    <t>Voigtländer, Leiv Eirik</t>
  </si>
  <si>
    <t>Die Konstruktion von Reputation : Verweise auf Ferdinand de Saussure in der romanistischen Sprachwissenschaft</t>
  </si>
  <si>
    <t>Richter, Julia</t>
  </si>
  <si>
    <t>Ageing and Technology : Perspectives from the Social Sciences</t>
  </si>
  <si>
    <t>Domínguez-Rué, Emma</t>
  </si>
  <si>
    <t>Terrorismus und moderne Kriegsführung : Politische Gewaltstrategien in Zeiten des »War on Terror«</t>
  </si>
  <si>
    <t>Heinke, Eva-Maria</t>
  </si>
  <si>
    <t>Grauzonen staatlicher Gewalt : Staatlich produzierte Unsicherheit in Kolumbien und Mexiko</t>
  </si>
  <si>
    <t>Jenss, Alke</t>
  </si>
  <si>
    <t>Das Ehrenamt nutzen : Zur Entstehung einer staatlichen Engagementpolitik in Deutschland</t>
  </si>
  <si>
    <t>Neumann, Daniela</t>
  </si>
  <si>
    <t>American Mobilities : Geographies of Class, Race, and Gender in US Culture</t>
  </si>
  <si>
    <t>Leyda, Julia</t>
  </si>
  <si>
    <t>Antiamerikanismus in Deutschland : Über die Funktion von Amerikabildern in nationalistischer und ethnozentrischer Rhetorik</t>
  </si>
  <si>
    <t>Knappertsbusch, Felix</t>
  </si>
  <si>
    <t>Die neuen Bürgerproteste in Deutschland : Organisatoren - Erwartungen - Demokratiebilder</t>
  </si>
  <si>
    <t>Butzlaff, Felix</t>
  </si>
  <si>
    <t>Die Chimäre einer Globalen Öffentlichkeit : Internationale Medienberichterstattung und die Legitimationskrise der Vereinten Nationen</t>
  </si>
  <si>
    <t>Ulrich, Dirk-Claas</t>
  </si>
  <si>
    <t>A Spectre is Haunting Arabia : How the Germans Brought Their Communism to Yemen</t>
  </si>
  <si>
    <t>Müller, Miriam M.</t>
  </si>
  <si>
    <t>Spaces and Identities in Border Regions : Politics - Media - Subjects</t>
  </si>
  <si>
    <t>Das Menschenrecht auf Gesundheit : Normative Grundlagen und aktuelle Diskurse</t>
  </si>
  <si>
    <t>Frewer, Andreas</t>
  </si>
  <si>
    <t>The Berlin Reader : A Compendium on Urban Change and Activism</t>
  </si>
  <si>
    <t>Bernt, Matthias</t>
  </si>
  <si>
    <t>Politisierte Religion : Der Kopftuchstreit in Deutschland und Frankreich</t>
  </si>
  <si>
    <t>Amir-Moazami, Schirin</t>
  </si>
  <si>
    <t>Banal Militarism : Zur Veralltäglichung des Militärischen im Zivilen</t>
  </si>
  <si>
    <t>Thomas, Tanja</t>
  </si>
  <si>
    <t>Gehört die Türkei zu Europa? : Wegweisungen für ein Europa am Scheideweg</t>
  </si>
  <si>
    <t>Soziale Stadtpolitik : Institutionen, Netzwerke und Diskurse in der Politikgestaltung</t>
  </si>
  <si>
    <t>Güntner, Simon</t>
  </si>
  <si>
    <t>Die Organisation des Washington Consensus : Der Internationale Währungsfonds und seine Rolle in der internationalen Finanzarchitektur</t>
  </si>
  <si>
    <t>Kellermann, Christian</t>
  </si>
  <si>
    <t>Soziale Grundsicherung in der Weltgesellschaft : Monetäre Mindestsicherungssysteme in den Ländern des Südens und des Nordens. Weltweiter Survey und theoretische Verortung</t>
  </si>
  <si>
    <t>Europa - geeint durch Werte? : Die europäische Wertedebatte auf dem Prüfstand der Geschichte</t>
  </si>
  <si>
    <t>Csáky, Moritz</t>
  </si>
  <si>
    <t>Ordnungen im Wandel : Globale und lokale Wirklichkeiten im Spiegel transdisziplinärer Analysen</t>
  </si>
  <si>
    <t>Arndt, Friedrich</t>
  </si>
  <si>
    <t>Das Militär und seine Subjekte : Zur Soziologie des Krieges</t>
  </si>
  <si>
    <t>Warburg, Jens</t>
  </si>
  <si>
    <t>Gerechtigkeit in Europa : Transnationale Dimensionen einer normativen Grundfrage</t>
  </si>
  <si>
    <t>Zwischen Bürgerkrieg und friedlicher Koexistenz : Interethnische Konfliktbearbeitung in den Philippinen, Sri Lanka und Malaysia</t>
  </si>
  <si>
    <t>Kreuzer, Peter</t>
  </si>
  <si>
    <t>Europa an der Oder : Die Konstruktion europäischer Sicherheit an der deutsch-polnischen Grenze</t>
  </si>
  <si>
    <t>Schwell, Alexandra</t>
  </si>
  <si>
    <t>Stocker du Carbone Dans les Sols Français : Quel Potentiel et à Quel Coût ?</t>
  </si>
  <si>
    <t>Pellerin, Sylvain</t>
  </si>
  <si>
    <t>Global Political Demography : The Politics of Population Change</t>
  </si>
  <si>
    <t>Goerres, Achim</t>
  </si>
  <si>
    <t>Vor der Revolution : Die Vereinigten Staaten und Die Permanente Intervention in Iran, 1953-1975</t>
  </si>
  <si>
    <t>Popp, Roland</t>
  </si>
  <si>
    <t>Molecular Beams in Physics and Chemistry : From Otto Stern's Pioneering Exploits to Present-Day Feats</t>
  </si>
  <si>
    <t>Friedrich, Bretislav</t>
  </si>
  <si>
    <t>A Visual Atlas for Soil Micromorphologists</t>
  </si>
  <si>
    <t>Verrecchia, Eric P.</t>
  </si>
  <si>
    <t>Student Feedback on Teaching in Schools : Using Student Perceptions for the Development of Teaching and Teachers</t>
  </si>
  <si>
    <t>Rollett, Wolfram</t>
  </si>
  <si>
    <t>Big Data in Bioeconomy : Results from the European DataBio Project</t>
  </si>
  <si>
    <t>Södergård, Caj</t>
  </si>
  <si>
    <t>Ab Initio Modeling of Magnetic Materials in the High-Temperature Paramagnetic Phase</t>
  </si>
  <si>
    <t>Gambino, Davide</t>
  </si>
  <si>
    <t>Foundations of Software Science and Computation Structures : 23rd International Conference, FOSSACS 2020, Held As Part of the European Joint Conferences on Theory and Practice of Software, ETAPS 2020, Dublin, Ireland, April 25-30, 2020, Proceedings</t>
  </si>
  <si>
    <t>Goubault-Larrecq, Jean</t>
  </si>
  <si>
    <t>Earth Observation Science and Applications for Risk Reduction and Enhanced Resilience in Hindu Kush Himalaya Region : A Decade of Experience from SERVIR</t>
  </si>
  <si>
    <t>Bajracharya, Birendra</t>
  </si>
  <si>
    <t>Beyond the Makerspace : Making and Relational Rhetorics</t>
  </si>
  <si>
    <t>Shivers-McNair, Ann</t>
  </si>
  <si>
    <t>Theater As Data : Computational Journeys into Theater Research</t>
  </si>
  <si>
    <t>Escobar Varela, Miguel</t>
  </si>
  <si>
    <t>Saving New Sounds : Podcast Preservation and Historiography</t>
  </si>
  <si>
    <t>Morris, Jeremy Wade</t>
  </si>
  <si>
    <t>Paul Lorenzen -- Mathematician and Logician</t>
  </si>
  <si>
    <t>Heinzmann, Gerhard</t>
  </si>
  <si>
    <t>Exercise-Based Cardiac Rehabilitation in Patients with Coronary Artery Disease : Attendance, Adherence and the Added Value of a Behavioural Medicine Intervention</t>
  </si>
  <si>
    <t>Borg, Sabina</t>
  </si>
  <si>
    <t>Theoretical Studies of the Coupling Between Electronic, Vibrational, Configurational and Structural Effects in Metal Borides</t>
  </si>
  <si>
    <t>Johansson, Erik</t>
  </si>
  <si>
    <t>Granskning Och Vägledning : Utredningssamtal Med Presumtiva Adoptivföräldrar Som Institutionell Praktik</t>
  </si>
  <si>
    <t>Wirzén, Madeleine</t>
  </si>
  <si>
    <t>The Economics of the Audiovisual Industry: Financing TV, Film and Web</t>
  </si>
  <si>
    <t>La Torre, Mario</t>
  </si>
  <si>
    <t>Selbststudium Im Digitalen Wandel : Digitales, Begleitetes Selbststudium in der Mathematik - MINT Meistern Mit Optes</t>
  </si>
  <si>
    <t>Küstermann, Roland</t>
  </si>
  <si>
    <t>Assessment of Climate Change over the Indian Region : A Report of the Ministry of Earth Sciences (MoES), Government of India</t>
  </si>
  <si>
    <t>Krishnan, R.</t>
  </si>
  <si>
    <t>The Importance and Value of Older Employees : Wise Workers in the Workplace</t>
  </si>
  <si>
    <t>Hilsen, Anne Inga</t>
  </si>
  <si>
    <t>Three Essays on Empirical Asset Pricing in International Equity Markets</t>
  </si>
  <si>
    <t>Müller, Birgit Charlotte</t>
  </si>
  <si>
    <t>Binging Family : Die Konzeption Von Familie in der Video-On-Demand-Serie</t>
  </si>
  <si>
    <t>Music As Intangible Cultural Heritage : Economic, Cultural and Social Identity</t>
  </si>
  <si>
    <t>de-Miguel-Molina, Blanca</t>
  </si>
  <si>
    <t>NGOs Als Besondere Akteure der Interessenvermittlung : Eine Analyse der Politischen Rationalität Von Nichtregierungsorganisationen</t>
  </si>
  <si>
    <t>Schiffers, Maximilian</t>
  </si>
  <si>
    <t>Liquidity, Markets and Trading in Action : An Interdisciplinary Perspective</t>
  </si>
  <si>
    <t>Ozenbas, Deniz</t>
  </si>
  <si>
    <t>From Goethe to Gundolf : Essays on German Literature and Culture</t>
  </si>
  <si>
    <t>Energy Management Strategy Design for Series Hybrid Electric Vehicles</t>
  </si>
  <si>
    <t>Shafikhani, Iman</t>
  </si>
  <si>
    <t>Collective Decision-Making on Networked Systems in Presence of Antagonistic Interactions</t>
  </si>
  <si>
    <t>Fontan, Angela</t>
  </si>
  <si>
    <t>Digitalising Tax, the Kenyan Way : The Travels and Translations of ITax in Kenya</t>
  </si>
  <si>
    <t>Elmi, Nimmo Osman</t>
  </si>
  <si>
    <t>Inequalities in Health : The Importance of Material/Structural Factors and Psychosocial Resources</t>
  </si>
  <si>
    <t>Granström, Fredrik</t>
  </si>
  <si>
    <t>Dissecting Discrimination : Identifying Its Various Faces and Their Sources</t>
  </si>
  <si>
    <t>Villiger, Daniel</t>
  </si>
  <si>
    <t>Il était une Fois L'Ifremer</t>
  </si>
  <si>
    <t>Chatry, Gilles</t>
  </si>
  <si>
    <t>Le Bien-être des Animaux D'élevage : Évaluer le Bien-être Animal</t>
  </si>
  <si>
    <t>Mounier, Luc</t>
  </si>
  <si>
    <t>Cocaine : From Coca Fields to the Streets</t>
  </si>
  <si>
    <t>Arias, Enrique Desmond</t>
  </si>
  <si>
    <t>Scriptures, Shrines, Scapegoats, and World Politics : Religious Sources of Conflict and Cooperation in the Modern Era</t>
  </si>
  <si>
    <t>Maoz, Zeev</t>
  </si>
  <si>
    <t>Karawitan : Source Readings in Javanese Gamelan and Vocal Music, Volume 1</t>
  </si>
  <si>
    <t>Becker, Judith</t>
  </si>
  <si>
    <t>Agricultural Robotics: Part of the New Deal? FIRA 2020 Conclusions : With 27 Agricultural Robot Information Sheets</t>
  </si>
  <si>
    <t>Lenain, Roland</t>
  </si>
  <si>
    <t>Queering Asylum in Europe : Legal and Social Experiences of Seeking International Protection on Grounds of Sexual Orientation and Gender Identity</t>
  </si>
  <si>
    <t>Danisi, Carmelo</t>
  </si>
  <si>
    <t>Good Citizenship for the Next Generation : A Global Perspective Using IEA ICCS 2016 Data</t>
  </si>
  <si>
    <t>Treviño, Ernesto</t>
  </si>
  <si>
    <t>Typisch Social Entrepreneurship : Arbeitsgestaltung und Wirkung Von Arbeit Bei Sozialunternehmer*innen in Deutschland</t>
  </si>
  <si>
    <t>Hein, Rüdiger</t>
  </si>
  <si>
    <t>Anatomie des Amoklaufs : Malaiischer Mĕngamok und School Shooting</t>
  </si>
  <si>
    <t>Sell, Madlen</t>
  </si>
  <si>
    <t>Towards a Digital Epistemology : Aesthetics and Modes of Thought in Early Modernity and the Present Age</t>
  </si>
  <si>
    <t>Ingvarsson, Jonas</t>
  </si>
  <si>
    <t>The Promise of Higher Education : Essays in Honour of 70 Years of IAU</t>
  </si>
  <si>
    <t>van't Land, Hilligje</t>
  </si>
  <si>
    <t>Complicities : A Theory for Subjectivity in the Psychological Humanities</t>
  </si>
  <si>
    <t>Distiller, Natasha</t>
  </si>
  <si>
    <t>Modern Industrial Services : A Cookbook for Design, Delivery, and Management</t>
  </si>
  <si>
    <t>West, shaun</t>
  </si>
  <si>
    <t>Bandgap Engineering of Lead-Free Halide Double Perovskites</t>
  </si>
  <si>
    <t>Ji, Fuxiang</t>
  </si>
  <si>
    <t>Dynamic Capabilities for Managing Logistics Challenges of Retailers</t>
  </si>
  <si>
    <t>Haag, Linnea</t>
  </si>
  <si>
    <t>Designing with Machine Learning in Digital Pathology : Augmenting Medical Specialists Through Interaction Design</t>
  </si>
  <si>
    <t>Lindvall, Martin</t>
  </si>
  <si>
    <t>Different Aspects of Psoriasis : Comorbidity, Comedication and Disease Biomarkers</t>
  </si>
  <si>
    <t>Duvetorp, Albert</t>
  </si>
  <si>
    <t>3D-Printing for Aerospace : Fatigue Behaviour of Additively Manufactured Titanium</t>
  </si>
  <si>
    <t>Kahlin, Magnus</t>
  </si>
  <si>
    <t>Local Tax Benefits at a Distance : Japan's Hometown Tax Donation Payment</t>
  </si>
  <si>
    <t>Hoda, Takaaki</t>
  </si>
  <si>
    <t>Engaged Fatherhood for Men, Families and Gender Equality : Healthcare, Social Policy, and Work Perspectives</t>
  </si>
  <si>
    <t>Emerging Threats of Synthetic Biology and Biotechnology : Addressing Security and Resilience Issues</t>
  </si>
  <si>
    <t>Trump, Benjamin D.</t>
  </si>
  <si>
    <t>Violence in the Balkans : First Findings from the Balkan Homicide Study</t>
  </si>
  <si>
    <t>Getos Kalac, Anna-Maria</t>
  </si>
  <si>
    <t>Unterrichtszentrierte Schulentwicklung : Schulen Auf Dem Weg Zu Einer Personalisierten Gestaltung Von Lehr- und Lernprozessen</t>
  </si>
  <si>
    <t>Galle, Marco</t>
  </si>
  <si>
    <t>Improving Inclusive Education Through Universal Design for Learning</t>
  </si>
  <si>
    <t>Galkiene, Alvyra</t>
  </si>
  <si>
    <t>Interdisciplinary Nutritional Management and Care for Older Adults : An Evidence-Based Practical Guide for Nurses</t>
  </si>
  <si>
    <t>Geirsdóttir, Ólöf G.</t>
  </si>
  <si>
    <t>Decision-Making and Decision Support Connected to Biogas Use in Sweden</t>
  </si>
  <si>
    <t>Dahlgren, Sofia</t>
  </si>
  <si>
    <t>On Material Selection and Its Consequences in Product Development</t>
  </si>
  <si>
    <t>Henriksson, Fredrik</t>
  </si>
  <si>
    <t>Sexual and Reproductive Health and Rights in India : Self-Care for Universal Health Coverage</t>
  </si>
  <si>
    <t>Pachauri, Saroj</t>
  </si>
  <si>
    <t>A Handbook and Reader of Ottoman Arabic</t>
  </si>
  <si>
    <t>Wagner, Esther-Miriam</t>
  </si>
  <si>
    <t>Partizipation Durch Werkstatträte</t>
  </si>
  <si>
    <t>Schachler, Viviane</t>
  </si>
  <si>
    <t>Art Activism for an Anticolonial Future</t>
  </si>
  <si>
    <t>Garrido Castellano, Carlos</t>
  </si>
  <si>
    <t>Primary and Secondary Education During Covid-19 : Disruptions to Educational Opportunity During a Pandemic</t>
  </si>
  <si>
    <t>Co-Creation for Responsible Research and Innovation : Experimenting with Design Methods and Tools</t>
  </si>
  <si>
    <t>Deserti, Alessandro</t>
  </si>
  <si>
    <t>Übersetzen in der Frühen Neuzeit - Konzepte und Methoden / Concepts and Practices of Translation in the Early Modern Period</t>
  </si>
  <si>
    <t>Toepfer, Regina</t>
  </si>
  <si>
    <t>Science Parks and Talent Attraction : A Study on the Development of Science Parks</t>
  </si>
  <si>
    <t>de Almeida Cadorin, Eduardo</t>
  </si>
  <si>
    <t>Loss Mechanisms in Non-Fullerene Organic Solar Cells</t>
  </si>
  <si>
    <t>Zhang, Huotian</t>
  </si>
  <si>
    <t>Expanding the Versatility and Functionality of Iontronic Devices</t>
  </si>
  <si>
    <t>Cherian, Dennis</t>
  </si>
  <si>
    <t>Die Praxis der Social-Media-Analyse : Eine Explorative Untersuchung Kalibrierten Zuhörens in der Automobilindustrie</t>
  </si>
  <si>
    <t>Säugling, Carolin</t>
  </si>
  <si>
    <t>NL ARMS Netherlands Annual Review of Military Studies 2021 : Compliance and Integrity in International Military Trade</t>
  </si>
  <si>
    <t>Beeres, Robert</t>
  </si>
  <si>
    <t>Zivilgesellschaftliche Performanz Von Religiösen und Säkularen Migrantenselbstorganisationen : Eine Studie in Nordrhein-Westfalen</t>
  </si>
  <si>
    <t>Klie, Anna Wiebke</t>
  </si>
  <si>
    <t>Proceedings of the 2021 DigitalFUTURES : The 3rd International Conference on Computational Design and Robotic Fabrication (CDRF 2021)</t>
  </si>
  <si>
    <t>Hochschulreformen, Leistungsbewertungen und Berufliche Identität Von Professor*innen : Eine Fächervergleichende Qualitative Studie</t>
  </si>
  <si>
    <t>Janßen, Melike</t>
  </si>
  <si>
    <t>Das Audioviduum : Eine Theoriegeschichte des Menschenmotivs in audiovisuellen Medien</t>
  </si>
  <si>
    <t>Structural Health Monitoring Damage Detection Systems for Aerospace</t>
  </si>
  <si>
    <t>Sause, Markus G. R.</t>
  </si>
  <si>
    <t>Politische Bildung in Aktion : Eine Qualitative Studie Zur Rekonstruktion Von Selbstbestimmten Bildungserfahrungen in Politischen Jugendinitiativen</t>
  </si>
  <si>
    <t>Kenner, Steve</t>
  </si>
  <si>
    <t>Le Bien-être des Animaux D'élevage : Comprendre le Bien-être Animal</t>
  </si>
  <si>
    <t>Le Bananier Plantain : Enjeux Socio-économiques et Techniques</t>
  </si>
  <si>
    <t>Kwa, Moïse</t>
  </si>
  <si>
    <t>Carrières D'halieutes : Histoires de Mer et de Passions</t>
  </si>
  <si>
    <t>Gascuel, Didier</t>
  </si>
  <si>
    <t>Strategic Management of Agricultural and Life Sciences Research Organisations : Interfaces, Processes and Contents</t>
  </si>
  <si>
    <t>Heimann, Bettina</t>
  </si>
  <si>
    <t>Agroforesterie et Services écosystémiques en Zone Tropicale : Recherche de Compromis Entre Services d'approvisionnement et Autres Services écosystémiques</t>
  </si>
  <si>
    <t>Seghieri, Josiane</t>
  </si>
  <si>
    <t>Sugar Beet : A Competitive Innovation</t>
  </si>
  <si>
    <t>Grassland Use in Europe : A Syllabus for Young Farmers</t>
  </si>
  <si>
    <t>Pol-van Dasselaar, Agnes van den</t>
  </si>
  <si>
    <t>La Betterave Sucrière : L'innovation Compétitive</t>
  </si>
  <si>
    <t>L' eau en Milieu Agricole : Outils et Méthodes Pour une Gestion Intégrée et Territoriale</t>
  </si>
  <si>
    <t>Leenhardt, Delphine</t>
  </si>
  <si>
    <t>Des Choses de la Nature et de Leurs Droits</t>
  </si>
  <si>
    <t>Vanuxem, Sarah</t>
  </si>
  <si>
    <t>Services écosystémiques et Protection des Sols : Analyses Juridiques et éclairages Agronomiques</t>
  </si>
  <si>
    <t>Hermon, Carole</t>
  </si>
  <si>
    <t>Du Comportement Végétal à l'intelligence des Plantes ?</t>
  </si>
  <si>
    <t>Hiernaux, Quentin</t>
  </si>
  <si>
    <t>One Health, une Seule Santé : Théorie et Pratique des Approches Intégrées de la Santé</t>
  </si>
  <si>
    <t>Zinsstag, Jakob</t>
  </si>
  <si>
    <t>Grasslands and Herbivore Production in Europe and Effects of Common Policies</t>
  </si>
  <si>
    <t>Agroécologie : des Recherches Pour la Transition des Filières et des Territoires</t>
  </si>
  <si>
    <t>Les légumineuses Pour des Systèmes Agricoles et Alimentaires Durables</t>
  </si>
  <si>
    <t>Schneider, Anne</t>
  </si>
  <si>
    <t>Gestion des Territoires Ruraux : Connaissances et Méthodes Pour la décision Publique Tomes 1 Et 2</t>
  </si>
  <si>
    <t>Pivot, Jean-Marc</t>
  </si>
  <si>
    <t>La Transition Numérique Dans la Recherche et l'enseignement Supérieur à L'horizon 2040</t>
  </si>
  <si>
    <t>Barzman, Marco</t>
  </si>
  <si>
    <t>La Transformation des Grains</t>
  </si>
  <si>
    <t>Le Manioc, Entre Culture Alimentaire et Filière Agro-Industrielle</t>
  </si>
  <si>
    <t>Vernier, Philippe</t>
  </si>
  <si>
    <t>La Santé Globale Au Prisme de l'analyse des Politiques Publiques</t>
  </si>
  <si>
    <t>Gardon, Sébastien</t>
  </si>
  <si>
    <t>Piloter la Fertilisation du Palmier à Huile</t>
  </si>
  <si>
    <t>Dubos, Bernard</t>
  </si>
  <si>
    <t>Réaménagement Forestier des Carrières de Granulats</t>
  </si>
  <si>
    <t>Piedallu, Christian</t>
  </si>
  <si>
    <t>Into the Woods : Overlapping Perspectives on the History of Ancien Forest</t>
  </si>
  <si>
    <t>Paradis-Grenouillet, Sandrine</t>
  </si>
  <si>
    <t>Parasites et Parasitoses des Poissons</t>
  </si>
  <si>
    <t>de Kinkelin, Pierre</t>
  </si>
  <si>
    <t>Stratégies des Filières Fromagères Sous AOP en Europe : Modes de Régulation et Performance économique</t>
  </si>
  <si>
    <t>Jeanneaux, Philippe</t>
  </si>
  <si>
    <t>De Grands défis et des Solutions Pour L'élevage : INRA Productions Animales 02/19 Vol 32</t>
  </si>
  <si>
    <t>Baumont, René</t>
  </si>
  <si>
    <t>Potabilisation des Eaux de Surface en Afrique de L'Ouest : Solutions Techniques Adaptées de l'expérience de la Vallée du Fleuve Sénégal</t>
  </si>
  <si>
    <t>David, édéric</t>
  </si>
  <si>
    <t>Manger en Ville : Regards Socio-Anthropologiques d'Afrique, d'Amérique Latine et D'Asie</t>
  </si>
  <si>
    <t>Sociologie des Changements de Pratiques en Agriculture : L'apport de l'étude des Réseaux de Dialogues Entre Pairs</t>
  </si>
  <si>
    <t>Compagnone, Claude</t>
  </si>
  <si>
    <t>Restaurer les Milieux et Prévenir les Inondations Grâce Au Génie Végétal</t>
  </si>
  <si>
    <t>Rey, Freddy</t>
  </si>
  <si>
    <t>Filière forêt-Bois et Atténuation du Changement Climatique : Entre Séquestration du Carbone en forêt et développement de la Bioéconomie</t>
  </si>
  <si>
    <t>Roux, Alice</t>
  </si>
  <si>
    <t>Une Troisième Voie Entre l'État et le Marché : Échanges Avec Elinor Ostrom</t>
  </si>
  <si>
    <t>Antona, Martine</t>
  </si>
  <si>
    <t>Guide de Gestion des Dunes et des Plages Associées</t>
  </si>
  <si>
    <t>Gouguet, Loïc</t>
  </si>
  <si>
    <t>Les Terres Agricoles Face à L'urbanisation : De la Donnée à l'action, Quels Rôles Pour L'information ?</t>
  </si>
  <si>
    <t>Plant, Roel</t>
  </si>
  <si>
    <t>Sols Artificialisés : Déterminants, Impacts et Leviers D'action</t>
  </si>
  <si>
    <t>Desrousseaux, Maylis</t>
  </si>
  <si>
    <t>Stratégies de Publication Scientifique</t>
  </si>
  <si>
    <t>Volland-Nail, Patricia</t>
  </si>
  <si>
    <t>Quelles Agricultures Irriguées Demain ? : Répondre Aux Enjeux de Sécurité Alimentaire et du développement Durable</t>
  </si>
  <si>
    <t>Bouarfa, Sami</t>
  </si>
  <si>
    <t>Emergence of Infectious Diseases : Risks and Issues for Societies</t>
  </si>
  <si>
    <t>Réaménagement Agricole des Carrières de Granulats</t>
  </si>
  <si>
    <t>Impacts et Services Issus des élevages Européens</t>
  </si>
  <si>
    <t>Dumont, Bertrand</t>
  </si>
  <si>
    <t>Biomasse : Une Histoire de Richesse et de Puissance</t>
  </si>
  <si>
    <t>Bioeconomy Challenges and Implementation: the European Research Organisations' Perspective</t>
  </si>
  <si>
    <t>The Forestry and Wood Sector and Climate Change Mitigation : From Carbon Sequestration in Forests to the Development of the Bioeconomy</t>
  </si>
  <si>
    <t>Geophysical and Geotechnical Methods for Diagnosing Flood Protection Dikes : Guide for Implementation and Interpretation</t>
  </si>
  <si>
    <t>Turner, Richard</t>
  </si>
  <si>
    <t>Oyapock et Maroni : Portraits d'estuaires Amazoniens</t>
  </si>
  <si>
    <t>Gardel, Antoine</t>
  </si>
  <si>
    <t>Climatiser le Monde</t>
  </si>
  <si>
    <t>C. Aykut, Stefan</t>
  </si>
  <si>
    <t>Dynamique des élevages Pastoraux et Agropastoraux en Afrique Intertropicale</t>
  </si>
  <si>
    <t>Richard, Didier</t>
  </si>
  <si>
    <t>Can Organic Agriculture Cope Without Copper for Disease Control? : Synthesis of the Collective Scientific Assessment Report</t>
  </si>
  <si>
    <t>La Panification Au Levain Naturel : Glossaire des Savoirs</t>
  </si>
  <si>
    <t>Roussel, Philippe</t>
  </si>
  <si>
    <t>Lexique Hydrologique Pour L'ingénieur</t>
  </si>
  <si>
    <t>Les Zoonoses : Ces Maladies Qui Nous Lient Aux Animaux</t>
  </si>
  <si>
    <t>Vourc'h, Gwenaël</t>
  </si>
  <si>
    <t>Eaux et forêts. la forêt : un Outil de Gestion des Eaux ?</t>
  </si>
  <si>
    <t>Lavabre, Jacques</t>
  </si>
  <si>
    <t>Pesticides : Des Impacts Aux Changements de Pratiques</t>
  </si>
  <si>
    <t>Charbonnier, Edwige</t>
  </si>
  <si>
    <t>Artificialized Land and Land Take : Drivers, Impacts and Potential Responses</t>
  </si>
  <si>
    <t>Innovation and Development in Agricultural and Food Systems</t>
  </si>
  <si>
    <t>L' influence Humaine Dans l'origine des Crues : État de l'art et Actes du Colloque</t>
  </si>
  <si>
    <t>Leblois, Étienne</t>
  </si>
  <si>
    <t>La Systémique Agraire à L'INRA : Histoire d'une Dissidence</t>
  </si>
  <si>
    <t>New Directions in the History of the Jews in the Polish Lands</t>
  </si>
  <si>
    <t>Polonsky, Antony</t>
  </si>
  <si>
    <t>Neighbourhoods in Transition : Brownfield Regeneration in European Metropolitan Areas</t>
  </si>
  <si>
    <t>Rey, Emmanuel</t>
  </si>
  <si>
    <t>The Persistence of Memory : Remembering Slavery in Liverpool, 'slaving Capital of the World'</t>
  </si>
  <si>
    <t>Moody, Jessica</t>
  </si>
  <si>
    <t>Reconstructing Public Housing : Liverpool's Hidden History of Collective Alternatives</t>
  </si>
  <si>
    <t>Thompson, Matthew</t>
  </si>
  <si>
    <t>A Stage of Emancipation : Change and Progress at the Dublin Gate Theatre</t>
  </si>
  <si>
    <t>Corporaal, Marguérite</t>
  </si>
  <si>
    <t>From Slavery to Civil Rights : On the Streetcars of New Orleans 1830s-Present</t>
  </si>
  <si>
    <t>McLaughlin-Stonham, Hilary</t>
  </si>
  <si>
    <t>Abrahamic Reflections on Randomness and Providence</t>
  </si>
  <si>
    <t>Clark, Kelly James</t>
  </si>
  <si>
    <t>Preparing for Digital Disruption</t>
  </si>
  <si>
    <t>Schrijvers, Erik</t>
  </si>
  <si>
    <t>Negotiating Climate Change in Crisis</t>
  </si>
  <si>
    <t>Böhm, Steffen</t>
  </si>
  <si>
    <t>Consensus or Conflict? : China and Globalization in the 21st Century</t>
  </si>
  <si>
    <t>Wang, Huiyao</t>
  </si>
  <si>
    <t>Spillways on River Levees</t>
  </si>
  <si>
    <t>Critical Landscape Planning During the Belt and Road Initiative</t>
  </si>
  <si>
    <t>Kelly, Ashley Scott</t>
  </si>
  <si>
    <t>Global Pathways to Education : Cultural Spheres, Networks, and International Organizations</t>
  </si>
  <si>
    <t>Evidence-Based School Development in Changing Demographic Contexts</t>
  </si>
  <si>
    <t>Ylimaki, Rose M.</t>
  </si>
  <si>
    <t>Mobile Edge Computing</t>
  </si>
  <si>
    <t>Zhang, Yan</t>
  </si>
  <si>
    <t>Chinese Water Systems : Volume 4: Applied Water Management in China</t>
  </si>
  <si>
    <t>Dohmann, Max</t>
  </si>
  <si>
    <t>The Life of Breath in Literature, Culture and Medicine : Classical to Contemporary</t>
  </si>
  <si>
    <t>Fuller, David</t>
  </si>
  <si>
    <t>Implementing BetterBack - a Best Practice Physiotherapy Healthcare Model for Low Back Pain : Clinician and Patient Evaluation</t>
  </si>
  <si>
    <t>Schröder, Karin</t>
  </si>
  <si>
    <t>Organic Bioelectronic Devices for Selective Biomarker Sensing : Towards Integration with Living Systems</t>
  </si>
  <si>
    <t>Diacci, Chiara</t>
  </si>
  <si>
    <t>Social Robots As Intentional Agents</t>
  </si>
  <si>
    <t>Thellman, Sam</t>
  </si>
  <si>
    <t>Impact of Different Interventions on Cardiovascular Risk Factors</t>
  </si>
  <si>
    <t>Vergara, Marta</t>
  </si>
  <si>
    <t>Autonomous Avoidance Maneuvers for Vehicles Using Optimization</t>
  </si>
  <si>
    <t>Anistratov, Pavel</t>
  </si>
  <si>
    <t>Interface-Assisted Perovskite Modulations for High-Performance Light-Emitting Diodes</t>
  </si>
  <si>
    <t>Kuang, Chaoyang</t>
  </si>
  <si>
    <t>Analyse Von Transferprozessen in der Entwicklung des Bruchzahlbegriffs : Theoretische Rahmung und Empirische Untersuchung</t>
  </si>
  <si>
    <t>Kollhoff, Sebastian</t>
  </si>
  <si>
    <t>Images on the Move : Materiality - Networks - Formats</t>
  </si>
  <si>
    <t>Moskatova, Olga</t>
  </si>
  <si>
    <t>Die Wirklichkeit lesen : Political Literacy und politische Bildung in der Migrationsgesellschaft</t>
  </si>
  <si>
    <t>Gensluckner, Lisa</t>
  </si>
  <si>
    <t>Moves - Spaces - Places : The Life Worlds of Jamaican Women in Montreal. An Ethnography</t>
  </si>
  <si>
    <t>Johnson, Lisa</t>
  </si>
  <si>
    <t>Instabile Bildlichkeit : Eine Prozess- und Medienphilosophie digitaler Bildkulturen</t>
  </si>
  <si>
    <t>Oxen, Nicolas</t>
  </si>
  <si>
    <t>Stadtklanggestaltung : Konditionen einer neuen Entwurfs-, Planungs- und Entwicklungspraxis</t>
  </si>
  <si>
    <t>Kusitzky, Thomas</t>
  </si>
  <si>
    <t>Political Leadership in Contemporary Japan</t>
  </si>
  <si>
    <t>MacDougall, Terry</t>
  </si>
  <si>
    <t>The Wild Goose</t>
  </si>
  <si>
    <t>Ogai, Mori</t>
  </si>
  <si>
    <t>The American and Japanese Auto Industries in Transition : Report of the Joint U. S. -Japan Automotive Study</t>
  </si>
  <si>
    <t>International Experience in Developing the Financial Resources of Universities</t>
  </si>
  <si>
    <t>Addressing the Climate Crisis : Local Action in Theory and Practice</t>
  </si>
  <si>
    <t>Howarth, Candice</t>
  </si>
  <si>
    <t>University and School Collaborations During a Pandemic : Sustaining Educational Opportunity and Reinventing Education</t>
  </si>
  <si>
    <t>Nachhaltige Entwicklung in Einer Gesellschaft des Umbruchs</t>
  </si>
  <si>
    <t>Blättel-Mink, Birgit</t>
  </si>
  <si>
    <t>La Montée du Niveau de la Mer D'ici 2100 : Scénarios et Conséquences</t>
  </si>
  <si>
    <t>Lacroix, Denis</t>
  </si>
  <si>
    <t>The Prehistoric Maritime Frontier of Southeast China : Indigenous Bai Yue and Their Oceanic Dispersal</t>
  </si>
  <si>
    <t>Wu, Chunming</t>
  </si>
  <si>
    <t>AVENUE21. Connected and Automated Driving: Prospects for Urban Europe</t>
  </si>
  <si>
    <t>Protecting the Fatherland: Lawsuits and Political Debates in Jülich, Hesse-Cassel and Brittany (1642-1655)</t>
  </si>
  <si>
    <t>Romein, Christel Annemieke</t>
  </si>
  <si>
    <t>Complex Event Processing under Uncertainty in RDF Stream Processing</t>
  </si>
  <si>
    <t>Keskisärkkä, Robin</t>
  </si>
  <si>
    <t>Microplastic in the Environment: Pattern and Process</t>
  </si>
  <si>
    <t>Bank, Michael S.</t>
  </si>
  <si>
    <t>African Land Reform under Economic Liberalisation : States, Chiefs, and Rural Communities</t>
  </si>
  <si>
    <t>Takeuchi, Shinichi</t>
  </si>
  <si>
    <t>Wadi Flash Floods : Challenges and Advanced Approaches for Disaster Risk Reduction</t>
  </si>
  <si>
    <t>Sumi, Tetsuya</t>
  </si>
  <si>
    <t>Datenreiche Medizin und das Problem der Einwilligung : Ethische, Rechtliche und Sozialwissenschaftliche Perspektiven</t>
  </si>
  <si>
    <t>Richter, Gesine</t>
  </si>
  <si>
    <t>Umrisse Einer Dritten Kultur Im Interdisziplinären Zusammenspiel Zwischen Literatur und Naturwissenschaft : Jahrbuch des Instituts Für Moderne Fremdsprachen an der Naturwissenschaftlich-Technischen Universität Norwegens (NTNU) in Trondheim</t>
  </si>
  <si>
    <t>Neumann, Bernd</t>
  </si>
  <si>
    <t>The New Politics of Numbers : Utopia, Evidence and Democracy</t>
  </si>
  <si>
    <t>Mennicken, Andrea</t>
  </si>
  <si>
    <t>Mastering Uncertainty in Mechanical Engineering</t>
  </si>
  <si>
    <t>Die Formation des literarischen Humors : Ein psychoanalytischer Beitrag zur bürgerlichen Subjektivität</t>
  </si>
  <si>
    <t>Hörhammer, Dieter</t>
  </si>
  <si>
    <t>Religion und Disability : Behinderung und Befähigung in religiösen Kontexten. Eine religionswissenschaftliche Untersuchung</t>
  </si>
  <si>
    <t>Jelinek-Menke, Ramona</t>
  </si>
  <si>
    <t>Aufbruch in die Öffentlichkeit? : Reflexionen zum ›public turn‹ in der Religionspädagogik</t>
  </si>
  <si>
    <t>Grümme, Bernhard</t>
  </si>
  <si>
    <t>Unbegleitete minderjährige Geflüchtete : Ihre Lebenssituationen und Perspektiven in Deutschland</t>
  </si>
  <si>
    <t>Thomas, Stefan</t>
  </si>
  <si>
    <t>Towards Shared Research : Participatory and Integrative Approaches in Researching African Environments</t>
  </si>
  <si>
    <t>Haller, Tobias</t>
  </si>
  <si>
    <t>Lehrer_in, Migration und Differenz : Fragen der Zugehörigkeit bei Grundschullehrer_innen der zweiten Einwanderungsgeneration in der Schweiz</t>
  </si>
  <si>
    <t>Mantel, Carola</t>
  </si>
  <si>
    <t>»Solidarität zuerst« : Zur Neuentdeckung einer politischen Idee</t>
  </si>
  <si>
    <t>Kämpfe um Migrationspolitik seit 2015 : Zur Transformation des europäischen Migrationsregimes</t>
  </si>
  <si>
    <t>Narrative Mechanics : Strategies and Meanings in Games and Real Life</t>
  </si>
  <si>
    <t>Suter, Beat</t>
  </si>
  <si>
    <t>Jahrbuch Für Kulturpolitik 2019/20 : Kultur. Macht. Heimaten. Heimat Als Kulturpolitische Herausforderung</t>
  </si>
  <si>
    <t>Sievers, Norbert</t>
  </si>
  <si>
    <t>Religion in der Schule : Pädagogische Praxis zwischen Diskriminierung und Anerkennung</t>
  </si>
  <si>
    <t>Willems, Joachim</t>
  </si>
  <si>
    <t>Frei, fair und lebendig - Die Macht der Commons</t>
  </si>
  <si>
    <t>Mediated Bordering : Eurosur, the Refugee Boat, and the Construction of an External EU Border</t>
  </si>
  <si>
    <t>Ellebrecht, Sabrina</t>
  </si>
  <si>
    <t>Transnationalizing Radio Research : New Approaches to an Old Medium</t>
  </si>
  <si>
    <t>Föllmer, Golo</t>
  </si>
  <si>
    <t>Jahrbuch Migration und Gesellschaft / Yearbook Migration and Society 2020/2021 : Focus »Beyond Borders«</t>
  </si>
  <si>
    <t>Warum treffen sich soziale Bewegungen? : Vom Wert der Begegnung: Interaktionssoziologische Perspektiven auf das Weltsozialforum</t>
  </si>
  <si>
    <t>Manthe, Rainald</t>
  </si>
  <si>
    <t>The Democratization of Artificial Intelligence : Net Politics in the Era of Learning Algorithms</t>
  </si>
  <si>
    <t>Sudmann, Andreas</t>
  </si>
  <si>
    <t>Maritime Poetics : From Coast to Hinterland</t>
  </si>
  <si>
    <t>Gee, Gabriel N.</t>
  </si>
  <si>
    <t>Historisches Lernen und Materielle Kultur : Von Dingen und Objekten in der Geschichtsdidaktik</t>
  </si>
  <si>
    <t>Barsch, Sebastian</t>
  </si>
  <si>
    <t>Student und Demokratie : Das politische Potenzial deutscher Studierender in Geschichte und Gegenwart</t>
  </si>
  <si>
    <t>Schenke, Julian</t>
  </si>
  <si>
    <t>Sterbeorte : Über eine neue Sichtbarkeit des Sterbens in der Architektur</t>
  </si>
  <si>
    <t>Voigt, Katharina</t>
  </si>
  <si>
    <t>The Decline of Marriage in Namibia : Kinship and Social Class in a Rural Community</t>
  </si>
  <si>
    <t>Pauli, Julia</t>
  </si>
  <si>
    <t>Imagined Economies - Real Fictions : New Perspectives on Economic Thinking in Great Britain</t>
  </si>
  <si>
    <t>Fischer, Jessica</t>
  </si>
  <si>
    <t>Curating Contemporary Music Festivals : A New Perspective on Music's Mediation</t>
  </si>
  <si>
    <t>Farnsworth, Brandon</t>
  </si>
  <si>
    <t>Politiken der Generativität : Reproduktive Gesundheit, Bevölkerung und Geschlecht. Das Beispiel der Weltgesundheitsorganisation</t>
  </si>
  <si>
    <t>Schutzbach, Franziska</t>
  </si>
  <si>
    <t>Nationale Hoffnung und konservative Enttäuschung : Zum Wandel des konservativen Nationenverständnisses nach der deutschen Vereinigung</t>
  </si>
  <si>
    <t>Finkbeiner, Florian</t>
  </si>
  <si>
    <t>The Bureaucratic Production of Difference : Ethos and Ethics in Migration Administrations</t>
  </si>
  <si>
    <t>Eckert, Julia M.</t>
  </si>
  <si>
    <t>Sich selbst vergleichen : Zur Relationalität autobiographischen Schreibens vom 12. Jahrhundert bis zur Gegenwart</t>
  </si>
  <si>
    <t>Arlinghaus, Franz-Josef</t>
  </si>
  <si>
    <t>Reflexive Responsibilisierung : Verantwortung für nachhaltige Entwicklung</t>
  </si>
  <si>
    <t>Henkel, Anna</t>
  </si>
  <si>
    <t>Autonomie und Kalkulation : Zur Praxis gesellschaftlicher Ökonomisierung im Gesundheits- und Krankenhauswesen</t>
  </si>
  <si>
    <t>Molzberger, Kaspar</t>
  </si>
  <si>
    <t>Knowing in Performing : Artistic Research in Music and the Performing Arts</t>
  </si>
  <si>
    <t>Huber, Annegret</t>
  </si>
  <si>
    <t>Robotic Knitting : Re-Crafting Human-Robot Collaboration Through Careful Coboting</t>
  </si>
  <si>
    <t>Treusch, Pat</t>
  </si>
  <si>
    <t>Als Andere unter Anderen : Darstellungen des Füreinander als Weg zur Solidarität</t>
  </si>
  <si>
    <t>Die Gabe als drittes Prinzip zwischen Markt und Staat? : Perspektiven von Marcel Mauss bis zur Gegenwart</t>
  </si>
  <si>
    <t>Frick, Marc</t>
  </si>
  <si>
    <t>Eingeschlossene Räume : Das Motiv der Box im Film</t>
  </si>
  <si>
    <t>Zettl, Nepomuk</t>
  </si>
  <si>
    <t>Contested Solidarity : Practices of Refugee Support between Humanitarian Help and Political Activism</t>
  </si>
  <si>
    <t>Fleischmann, Larissa</t>
  </si>
  <si>
    <t>Großerzählungen des Extremen : Neue Rechte, Populismus, Islamismus, War on Terror</t>
  </si>
  <si>
    <t>Schellhöh, Jennifer</t>
  </si>
  <si>
    <t>Private Daten : Unsere Spuren in der digitalen Welt</t>
  </si>
  <si>
    <t>Wiesner, Barbara</t>
  </si>
  <si>
    <t>Die Berater : Ihr Wirken in Staat und Gesellschaft</t>
  </si>
  <si>
    <t>Rügemer, Werner</t>
  </si>
  <si>
    <t>Studies in the Arts - Neue Perspektiven auf Forschung über, in und durch Kunst und Design</t>
  </si>
  <si>
    <t>Gartmann, Thomas</t>
  </si>
  <si>
    <t>Kunstlabore: Für mehr Kunst in Schulen! : Ein Ratgeber zur Qualität künstlerischer Arbeit in Schulen</t>
  </si>
  <si>
    <t>Heisig, Julia</t>
  </si>
  <si>
    <t>Judith Butler und die Theologie : Herausforderung und Rezeption</t>
  </si>
  <si>
    <t>Fragile Werte : Diskurs und Praxis der Restaurierungswissenschaften 1913-2014</t>
  </si>
  <si>
    <t>Bäschlin, Nathalie</t>
  </si>
  <si>
    <t>Der literarische Realismus und die illustrierten Printmedien : Literatur im Kontext der Massenmedien und visuellen Kultur des 19. Jahrhunderts</t>
  </si>
  <si>
    <t>Barthold, Willi Wolfgang</t>
  </si>
  <si>
    <t>Glück und Nachhaltigkeit : Subjektives Wohlbefinden als Leitmotiv für nachhaltige Entwicklung</t>
  </si>
  <si>
    <t>Dallmer, Jochen</t>
  </si>
  <si>
    <t>Psychische Erkrankungen in der Arbeitswelt : Analysen und Ansätze zur therapeutischen und betrieblichen Bewältigung</t>
  </si>
  <si>
    <t>Alsdorf, Nora</t>
  </si>
  <si>
    <t>Philipp von Huttens Tod in der Neuen Welt : Ein Kriminalfall, der das koloniale Schreiben in Gang setzte</t>
  </si>
  <si>
    <t>Gujer-Bertschinger, Susanne Andrea</t>
  </si>
  <si>
    <t>Music - Media - History : Re-Thinking Musicology in an Age of Digital Media</t>
  </si>
  <si>
    <t>Santi, Matej</t>
  </si>
  <si>
    <t>Making Democracy - Aushandlungen von Freiheit, Gleichheit und Solidarität im Alltag</t>
  </si>
  <si>
    <t>Rajal, Elke</t>
  </si>
  <si>
    <t>Hinter der glitzernden Fassade : Über die Macht der Informalität in der Kaukasusrepublik Aserbaidschan</t>
  </si>
  <si>
    <t>Safiyev, Rail</t>
  </si>
  <si>
    <t>Monospace and Multiverse : Exploring Space with Actor-Network-Theory</t>
  </si>
  <si>
    <t>Hansmann, Sabine</t>
  </si>
  <si>
    <t>Islam, Gender, Intersektionalität : Bildungswege junger Frauen in der Schweiz</t>
  </si>
  <si>
    <t>Gasser, Nathalie</t>
  </si>
  <si>
    <t>Nachhaltige Lebensführung : Praktiken und Transformationspotenziale gemeinschaftlicher Wohnprojekte</t>
  </si>
  <si>
    <t>Soziologie der Nachhaltigkeit</t>
  </si>
  <si>
    <t>Görgen, Benjamin</t>
  </si>
  <si>
    <t>Arts in Context - Kunst, Forschung, Gesellschaft</t>
  </si>
  <si>
    <t>Re-Cording Lives : Governing Asylum in Switzerland and the Need to Resolve</t>
  </si>
  <si>
    <t>Pörtner, Ephraim</t>
  </si>
  <si>
    <t>Wikis und die Wikipedia verstehen : Eine Einführung</t>
  </si>
  <si>
    <t>Dijk, Ziko van</t>
  </si>
  <si>
    <t>Stuttgart 21 - eine Rekonstruktion der Proteste : Soziale Bewegungen in Zeiten der Postdemokratie</t>
  </si>
  <si>
    <t>Staden, Julia von</t>
  </si>
  <si>
    <t>Postwachstumsgeographien : Raumbezüge diverser und alternativer Ökonomien</t>
  </si>
  <si>
    <t>How to Relate : Wissen, Künste, Praktiken / Knowledge, Arts, Practices</t>
  </si>
  <si>
    <t>Haas, Annika</t>
  </si>
  <si>
    <t>Erdgeschichte(n) und Entwicklungsromane : Geologisches Wissen und Subjektkonstitution in der Poetologie der frühen Moderne. Goethes Wanderjahre und Stifters Nachsommer</t>
  </si>
  <si>
    <t>Schär, Kathrin</t>
  </si>
  <si>
    <t>Fridays for Future - Die Jugend gegen den Klimawandel : Konturen der weltweiten Protestbewegung</t>
  </si>
  <si>
    <t>Haunss, Sebastian</t>
  </si>
  <si>
    <t>»Wir machen Stoff« : Die Gewerkschaft Textil-Bekleidung 1949-1998</t>
  </si>
  <si>
    <t>Donath, Peter</t>
  </si>
  <si>
    <t>Kulturen des Reparierens : Dinge - Wissen - Praktiken</t>
  </si>
  <si>
    <t>Krebs, Stefan</t>
  </si>
  <si>
    <t>War der Coronavirus-Lockdown notwendig? : Versuch einer wissenschaftlichen Antwort</t>
  </si>
  <si>
    <t>Richter, Dirk</t>
  </si>
  <si>
    <t>Bürgerwehren in Deutschland : Zwischen Nachbarschaftshilfe und rechtsextremer Raumergreifung</t>
  </si>
  <si>
    <t>Bust-Bartels, Nina Marie</t>
  </si>
  <si>
    <t>Achtsamkeit als kulturelle Praxis : Zu den Selbst-Welt-Modellen eines populären Phänomens</t>
  </si>
  <si>
    <t>Schmidt, Jacob</t>
  </si>
  <si>
    <t>Friedensgutachten 2021 : Europa kann mehr!</t>
  </si>
  <si>
    <t>BICC Bonn International Centre for Conflict Studies</t>
  </si>
  <si>
    <t>Epistemische Gewalt : Wissen und Herrschaft in der kolonialen Moderne</t>
  </si>
  <si>
    <t>Brunner, Claudia</t>
  </si>
  <si>
    <t>Authority and Authorship in Medieval and Seventeenth Century Women's Visionary Writings</t>
  </si>
  <si>
    <t>Frick, Deborah</t>
  </si>
  <si>
    <t>Religion in Flüchtlingsunterkünften : Sozialanthropologische Perspektiven</t>
  </si>
  <si>
    <t>Powroznik, Natalie</t>
  </si>
  <si>
    <t>»Verworfene Frauenzimmer« : Geschlecht als Kategorie des Wissens vor dem Strafgericht</t>
  </si>
  <si>
    <t>Grütter, Melanie</t>
  </si>
  <si>
    <t>Das zweite konvivialistische Manifest : Für eine post-neoliberale Welt</t>
  </si>
  <si>
    <t>Die konvivialistische Internationale</t>
  </si>
  <si>
    <t>Politik in Fernsehserien : Analysen und Fallstudien zu House of Cards, Borgen &amp; Co.</t>
  </si>
  <si>
    <t>Switek, Niko</t>
  </si>
  <si>
    <t>Zeit im Lebensverlauf : Ein Glossar</t>
  </si>
  <si>
    <t>Die Produktion der Konsumgesellschaft : Eine kulturökonomische Grundlegung der feinen Unterschiede</t>
  </si>
  <si>
    <t>Mohr, Ernst</t>
  </si>
  <si>
    <t>After Confucius : Studies in Early Chinese Philosophy</t>
  </si>
  <si>
    <t>University of Hawaii Press</t>
  </si>
  <si>
    <t>Goldin, Paul R.</t>
  </si>
  <si>
    <t>The New Meatways and Sustainability : Discourses and Social Practices</t>
  </si>
  <si>
    <t>Kanerva, Minna</t>
  </si>
  <si>
    <t>Democratic Citizenship in Flux : Conceptions of Citizenship in the Light of Political and Social Fragmentation</t>
  </si>
  <si>
    <t>Bayer, Markus</t>
  </si>
  <si>
    <t>Im Rauschen der Schweizer Alpen : Eine auditive Ethnographie zu Klang und Kulturpolitik des internationalen Radios</t>
  </si>
  <si>
    <t>Jäggi, Patricia</t>
  </si>
  <si>
    <t>Judith Butler und die Theologie der Freiheit</t>
  </si>
  <si>
    <t>Werner, Gunda</t>
  </si>
  <si>
    <t>Religiöse Pluralitäten - Umbrüche in der Wahrnehmung religiöser Vielfalt in Deutschland</t>
  </si>
  <si>
    <t>Klinkhammer, Gritt</t>
  </si>
  <si>
    <t>Wagner - Weimar - Eisenach : Richard Wagner im Spannungsfeld von Kultur und Politik</t>
  </si>
  <si>
    <t>Geyer, Helen</t>
  </si>
  <si>
    <t>Hegemonie und Kulturkampf : Verknüpfung von Neoliberalismus und Islam in der Türkei</t>
  </si>
  <si>
    <t>Babacan, Errol</t>
  </si>
  <si>
    <t>Achtsamkeit und Meditation im Hochschulkontext : 10 Jahre Münchner Modell</t>
  </si>
  <si>
    <t>Bruin, Andreas de</t>
  </si>
  <si>
    <t>Mindfulness and Meditation at University : 10 Years of the Munich Model</t>
  </si>
  <si>
    <t>Material Cultures of Psychiatry</t>
  </si>
  <si>
    <t>Ankele, Monika</t>
  </si>
  <si>
    <t>Normalität und Subjektivierung : Eine biographische Untersuchung im Übergang aus der stationären Jugendhilfe</t>
  </si>
  <si>
    <t>Rein, Angela</t>
  </si>
  <si>
    <t>Arbeit an der Kultur : Margaret Mead, Gregory Bateson und die amerikanische Anthropologie, 1930-1950</t>
  </si>
  <si>
    <t>Neidhöfer, Thilo</t>
  </si>
  <si>
    <t>Wahrheit und Revolution : Studien zur Grundproblematik der Marx'schen Gesellschaftskritik</t>
  </si>
  <si>
    <t>»Truth« and Fiction : Conspiracy Theories in Eastern European Culture and Literature</t>
  </si>
  <si>
    <t>Deutschmann, Peter</t>
  </si>
  <si>
    <t>100 Jahre Politikwissenschaft in Hamburg : Bruchstücke zu einer Institutsgeschichte</t>
  </si>
  <si>
    <t>Niesen, Peter</t>
  </si>
  <si>
    <t>Zwischen bürgerlicher Identität und musikalischer Profession : Die Geschichte der Philharmonischen Gesellschaft Bremen im 19. Jahrhundert</t>
  </si>
  <si>
    <t>Bock, Katrin</t>
  </si>
  <si>
    <t>Faking, Forging, Counterfeiting : Discredited Practices at the Margins of Mimesis</t>
  </si>
  <si>
    <t>Becker, Daniel</t>
  </si>
  <si>
    <t>Geflüchtetenprotest und Gewerkschaften : Verhandlungen von Repräsentation im deutschen Arbeits- und Migrationsregime</t>
  </si>
  <si>
    <t>Fischer, Oskar Ilja</t>
  </si>
  <si>
    <t>Muslimischsein im Sicherheitsdiskurs : Eine rekonstruktive Studie über den Umgang mit dem Bedrohungsszenario</t>
  </si>
  <si>
    <t>Attia, Iman</t>
  </si>
  <si>
    <t>Obskure Organisationen : Logen, Clubs und Männerbünde als organisationssoziologische Sonderfälle</t>
  </si>
  <si>
    <t>Gibel, Roman</t>
  </si>
  <si>
    <t>Migration in den Alpen : Handlungsspielräume und Perspektiven</t>
  </si>
  <si>
    <t>Graf, Flurina</t>
  </si>
  <si>
    <t>HipHop aus Österreich : Lokale Aspekte einer globalen Kultur</t>
  </si>
  <si>
    <t>Dörfler-Trummer, Frederik</t>
  </si>
  <si>
    <t>Flucht und Vertreibung in europäischen Museen : Deutsche, polnische und tschechische Perspektiven im Vergleich</t>
  </si>
  <si>
    <t>Regente, Vincent</t>
  </si>
  <si>
    <t>Ordnungen des Nationalen und die geteilte Welt : Zur Praxis Auswärtiger Kulturpolitik als Konfliktprävention</t>
  </si>
  <si>
    <t>Adam, Jens</t>
  </si>
  <si>
    <t>Medienqualität : Diskurse aus dem Grimme-Institut zu Fernsehen, Internet und Radio</t>
  </si>
  <si>
    <t>Gerlach, Frauke</t>
  </si>
  <si>
    <t>Digital Image Systems : Photography and New Technologies at the Düsseldorf School</t>
  </si>
  <si>
    <t>Gunti, Claus</t>
  </si>
  <si>
    <t>Geflüchtete im Betrieb : Integration und Arbeitsbeziehungen zwischen Ressentiment und Kollegialität</t>
  </si>
  <si>
    <t>Die multiple Identität der Technik : Eine Innovationsbiographie der Augmented Reality-Technologie</t>
  </si>
  <si>
    <t>Lenzen, Kirstin</t>
  </si>
  <si>
    <t>Transfer in der Lehre : Zivilgesellschaftliches Engagement als Zumutung oder Chance für die Hochschulen?</t>
  </si>
  <si>
    <t>Kümmel-Schnur, Albert</t>
  </si>
  <si>
    <t>Musical Composition in the Context of Globalization : New Perspectives on Music History in the 20th and 21st Century</t>
  </si>
  <si>
    <t>Utz, Christian</t>
  </si>
  <si>
    <t>Der Hochverrat des Amtmanns Povel Juel : Ein mikrohistorischer Streifzug durch Europas Norden der Frühen Neuzeit</t>
  </si>
  <si>
    <t>Schaad, Martin</t>
  </si>
  <si>
    <t>The Production of Consumer Society : Cultural-Economic Principles of Distinction</t>
  </si>
  <si>
    <t>Philosophie des HipHop : Performen, was an der Zeit ist</t>
  </si>
  <si>
    <t>Manemann, Jürgen</t>
  </si>
  <si>
    <t>Fernbeziehungen : Diffraktionen zu Intimität in medialen Zwischenräumen</t>
  </si>
  <si>
    <t>Scherrer, Madeleine</t>
  </si>
  <si>
    <t>Bildspuren - Sprachspuren : Postkarten als Quellen zur Mehrsprachigkeit in der späten Habsburger Monarchie</t>
  </si>
  <si>
    <t>Almasy, Karin</t>
  </si>
  <si>
    <t>Intersektionale Sozialforschung</t>
  </si>
  <si>
    <t>Ganz, Kathrin</t>
  </si>
  <si>
    <t>Konversation und Geselligkeit : Praxis französischer Salonkultur im Spannungsfeld von Idealität und Realität</t>
  </si>
  <si>
    <t>Schulz, Karin</t>
  </si>
  <si>
    <t>Strange Blood : The Rise and Fall of Lamb Blood Transfusion in 19th Century Medicine and Beyond</t>
  </si>
  <si>
    <t>Berner, Boel</t>
  </si>
  <si>
    <t>Hoffnung auf eine bessere Vergangenheit : Kollektivierungsdiskurse und ihre Codes der Verräumlichung</t>
  </si>
  <si>
    <t>Kibel, Jochen</t>
  </si>
  <si>
    <t>Liquid Democracy in Deutschland : Zur Zukunft digitaler politischer Entscheidungsfindung nach dem Niedergang der Piratenpartei</t>
  </si>
  <si>
    <t>Adler, Anja</t>
  </si>
  <si>
    <t>Digitalisierung als Distributivkraft : Über das Neue am digitalen Kapitalismus</t>
  </si>
  <si>
    <t>Pfeiffer, Sabine</t>
  </si>
  <si>
    <t>Politik in der digitalen Gesellschaft : Zentrale Problemfelder und Forschungsperspektiven</t>
  </si>
  <si>
    <t>Hofmann, Jeanette</t>
  </si>
  <si>
    <t>Ambivalenzen pädagogischen Handelns : Reflexionen der Betreuung von Menschen mit ›geistiger Behinderung‹</t>
  </si>
  <si>
    <t>Trescher, Hendrik</t>
  </si>
  <si>
    <t>Konzepte der Interkulturalität in der Germanistik weltweit</t>
  </si>
  <si>
    <t>Cornejo, Renata</t>
  </si>
  <si>
    <t>Wie können wir den Schaden maximieren? : Gestaltung trotz Komplexität. Beiträge zu einem Public Interest Design</t>
  </si>
  <si>
    <t>Rodatz, Christoph</t>
  </si>
  <si>
    <t>Ver-rückte Expertisen : Ethnografische Perspektiven auf Genesungsbegleitung</t>
  </si>
  <si>
    <t>Schmid, Christine</t>
  </si>
  <si>
    <t>Co-Parenting und die Zukunft der Liebe : Über post-romantische Elternschaft</t>
  </si>
  <si>
    <t>Wimbauer, Christine</t>
  </si>
  <si>
    <t>Care trans_formieren : Eine ethnographische Studie zu trans und nicht-binärer Sorgearbeit</t>
  </si>
  <si>
    <t>Seeck, Francis</t>
  </si>
  <si>
    <t>Gilles Deleuze und die Anyone Corporation : Übersetzungsprozesse zwischen Philosophie und Architektur</t>
  </si>
  <si>
    <t>Lausch, Frederike</t>
  </si>
  <si>
    <t>Legal Pluralism in Ethiopia : Actors, Challenges and Solutions</t>
  </si>
  <si>
    <t>Epple, Susanne</t>
  </si>
  <si>
    <t>Der Weltanschauungsroman 2. Ordnung : Probleme literarischer Modellbildung bei Hermann Broch und Robert Musil</t>
  </si>
  <si>
    <t>Schwarzwälder, Florens</t>
  </si>
  <si>
    <t>Die Dialektik der Angewiesenheit : Das sozialpolitische Werk von Eduard Heimann neu lesen</t>
  </si>
  <si>
    <t>Thinking of Space Relationally : Critical Realism Beyond Relativism - A Manifold Study of the Artworld in Beijing</t>
  </si>
  <si>
    <t>Gao, Xiaoxue</t>
  </si>
  <si>
    <t>Komplexes Erzählen - Literatur auf 2+n-ter Stufe : Zu einer Theorie literarischer Komplexität</t>
  </si>
  <si>
    <t>Steiner, André</t>
  </si>
  <si>
    <t>Die Energiewende im Bundestag: ein politisches Transformationsprojekt? : Eine Diskursanalyse aus feministischer und sozial-ökologischer Perspektive</t>
  </si>
  <si>
    <t>Amri-Henkel, Andrea</t>
  </si>
  <si>
    <t>Creating Learning Spaces : Experiences from Educational Fields</t>
  </si>
  <si>
    <t>Bröcher, Joachim</t>
  </si>
  <si>
    <t>Leben weben : (Auto-)Biographische Praktiken russischer Autorinnen und Autoren im Internet</t>
  </si>
  <si>
    <t>Howanitz, Gernot</t>
  </si>
  <si>
    <t>Praxeologie in der Historischen Bildungsforschung : Möglichkeiten und Grenzen eines Forschungsansatzes</t>
  </si>
  <si>
    <t>Hoffmann-Ocon, Andreas</t>
  </si>
  <si>
    <t>Ausbildung statt Ausgrenzung : Wie interkulturelle Öffnung und Diversity-Orientierung in Berlins Öffentlichem Dienst und in Landesbetrieben gelingen können</t>
  </si>
  <si>
    <t>Germershausen, Andreas</t>
  </si>
  <si>
    <t>Freiheit wagen! : Ein Essay zur Revolution im 21. Jahrhundert</t>
  </si>
  <si>
    <t>Narratologie und Geschichte : Eine Analyse schottischer Historiografie am Beispiel des »Scotichronicon« und des »Bruce«</t>
  </si>
  <si>
    <t>Hachgenei, Davina</t>
  </si>
  <si>
    <t>Urban Resilience in a Global Context : Actors, Narratives, and Temporalities</t>
  </si>
  <si>
    <t>Brantz, Dorothee</t>
  </si>
  <si>
    <t>Killing and Being Killed: Bodies in Battle : Perspectives on Fighters in the Middle Ages</t>
  </si>
  <si>
    <t>Care Home Stories : Aging, Disability, and Long-Term Residential Care</t>
  </si>
  <si>
    <t>Chivers, Sally</t>
  </si>
  <si>
    <t>Rechtes Denken, rechte Räume? : Demokratiefeindliche Entwicklungen und ihre räumlichen Kontexte</t>
  </si>
  <si>
    <t>Berg, Lynn</t>
  </si>
  <si>
    <t>Practices of Speculation : Modeling, Embodiment, Figuration</t>
  </si>
  <si>
    <t>Cortiel, Jeanne</t>
  </si>
  <si>
    <t>Postmigrantische Visionen : Erfahrungen - Ideen - Reflexionen</t>
  </si>
  <si>
    <t>Hill, Marc</t>
  </si>
  <si>
    <t>Tanz der Dinge/Things that dance : Jahrbuch TanzForschung 2019</t>
  </si>
  <si>
    <t>Birringer, Johannes</t>
  </si>
  <si>
    <t>Kritik - Selbstaffirmation - Othering : Immanuel Kants Denken der Zweckmässigkeit und die koloniale Episteme</t>
  </si>
  <si>
    <t>Hostettler, Karin</t>
  </si>
  <si>
    <t>Kritik der Gegenwart - Politische Theorie als kritische Zeitdiagnose</t>
  </si>
  <si>
    <t>Flügel-Martinsen, Oliver</t>
  </si>
  <si>
    <t>Von Tierdaten zu Datentieren : Eine Mediengeschichte der elektronischen Tierkennzeichnung und des datengestützten Herdenmanagements</t>
  </si>
  <si>
    <t>Bolinski, Ina</t>
  </si>
  <si>
    <t>Annäherungen an das Unaussprechliche : Ästhetische Erfahrung in kollektiven religiösen Praktiken</t>
  </si>
  <si>
    <t>Schwaderer, Isabella</t>
  </si>
  <si>
    <t>Anders lernen, arbeiten und leben : Für eine Transformation von Pädagogik und Gesellschaft</t>
  </si>
  <si>
    <t>Soziale Welten der Erwachsenenbildung : Eine professionstheoretische Verortung</t>
  </si>
  <si>
    <t>Steiner, Petra H.</t>
  </si>
  <si>
    <t>Im Zwischenraum der beschleunigten Moderne : Eine Bau- und Kulturgeschichte des Wartens auf Eisenbahnen, 1830-1935</t>
  </si>
  <si>
    <t>Kellermann, Robin</t>
  </si>
  <si>
    <t>Mistrust : Ethnographic Approximations</t>
  </si>
  <si>
    <t>Mühlfried, Florian</t>
  </si>
  <si>
    <t>Biopolitics and Historic Justice : Coming to Terms with the Injuries of Normality</t>
  </si>
  <si>
    <t>Braun, Kathrin</t>
  </si>
  <si>
    <t>SONA - Netzwerk Soziologie der Nachhaltigkeit</t>
  </si>
  <si>
    <t>Baustelle Elektromobilität : Sozialwissenschaftliche Perspektiven auf die Transformation der (Auto-)Mobilität</t>
  </si>
  <si>
    <t>Die Kunst des Büchermachens: Autorschaft und Materialität der Literatur zwischen 1765 und 1815</t>
  </si>
  <si>
    <t>Fuchs, Tobias</t>
  </si>
  <si>
    <t>Socializing Development : Transnational Social Movement Advocacy and the Human Rights Accountability of Multilateral Development Banks</t>
  </si>
  <si>
    <t>Schettler, Leon Valentin</t>
  </si>
  <si>
    <t>Democracy, Markets and the Commons : Towards a Reconciliation of Freedom and Ecology</t>
  </si>
  <si>
    <t>Peter, Lukas</t>
  </si>
  <si>
    <t>Anti-Genderismus in Europa : Allianzen von Rechtspopulismus und religiösem Fundamentalismus. Mobilisierung - Vernetzung - Transformation</t>
  </si>
  <si>
    <t>Strube, Sonja A.</t>
  </si>
  <si>
    <t>Southeast Asian Transformations : Urban and Rural Developments in the 21st Century</t>
  </si>
  <si>
    <t>Kurfürst, Sandra</t>
  </si>
  <si>
    <t>European Regions : Perspectives, Trends and Developments in the 21st Century</t>
  </si>
  <si>
    <t>Donat, Elisabeth</t>
  </si>
  <si>
    <t>A Poetics of Neurosis : Narratives of Normalcy and Disorder in Cultural and Literary Texts</t>
  </si>
  <si>
    <t>Furlanetto, Elena</t>
  </si>
  <si>
    <t>Sexualität - Geschlecht - Affekt : Sexuelle Scripts als Palimpsest in literarischen Erzähltexten und zeitgenössischen theoretischen Debatten</t>
  </si>
  <si>
    <t>Binswanger, Christa</t>
  </si>
  <si>
    <t>Bally - A History of Footwear in the Interwar Period</t>
  </si>
  <si>
    <t>Schlittler, Anna-Brigitte</t>
  </si>
  <si>
    <t>Bildungs- und Berufsberatung in der Migrationsgesellschaft : Pädagogische Perspektiven auf Beratung zur Anerkennung im Ausland erworbener Qualifikationen</t>
  </si>
  <si>
    <t>Schmidtke, Birgit</t>
  </si>
  <si>
    <t>Segregation, Inequality, and Urban Development : Forced Evictions and Criminalisation Practices in Present-Day South Africa</t>
  </si>
  <si>
    <t>Dehkordi, Sara</t>
  </si>
  <si>
    <t>Moschee-Neubauten : Institutionalisierung, Bedeutung und Sichtbarkeit in England und der Schweiz</t>
  </si>
  <si>
    <t>Stöckli, Lucia</t>
  </si>
  <si>
    <t>Kosmopolitische Pioniere : »Inder_innen der zweiten Generation« aus der Schweiz zwischen Assimilation, Exotik und globaler Moderne</t>
  </si>
  <si>
    <t>Jain, Rohit</t>
  </si>
  <si>
    <t>Die Ästhetisierung und Politisierung des Todes : Handyvideos von Gewalt und Tod im Syrienkonflikt</t>
  </si>
  <si>
    <t>Meis, Mareike</t>
  </si>
  <si>
    <t>Multispezies-Ethnographie : Zur Methodik einer ganzheitlichen Erforschung von Mensch, Tier, Natur und Kultur</t>
  </si>
  <si>
    <t>Ameli, Katharina</t>
  </si>
  <si>
    <t>Trump - ein amerikanischer Traum? : Warum Amerika sich verwählt hat</t>
  </si>
  <si>
    <t>Political Participation in the Digital Age : An Ethnographic Comparison Between Iceland and Germany</t>
  </si>
  <si>
    <t>Tiemann-Kollipost, Julia</t>
  </si>
  <si>
    <t>Nach der »Willkommenskultur« : Geflüchtete zwischen umkämpfter Teilhabe und zivilgesellschaftlicher Solidarität</t>
  </si>
  <si>
    <t>Dinkelaker, Samia</t>
  </si>
  <si>
    <t>Kampf um Mitbestimmung : Antworten auf »Union Busting« und die Behinderung von Betriebsräten</t>
  </si>
  <si>
    <t>Thünken, Oliver</t>
  </si>
  <si>
    <t>This Is Not an Atlas : A Global Collection of Counter-Cartographies</t>
  </si>
  <si>
    <t>kollektiv orangotango+, kollektiv</t>
  </si>
  <si>
    <t>Robuste Langzeit-Governance bei der Endlagersuche : Soziotechnische Herausforderungen im Umgang mit hochradioaktiven Abfällen</t>
  </si>
  <si>
    <t>Brohmann, Bettina</t>
  </si>
  <si>
    <t>Transgressive Truths and Flattering Lies : The Poetics and Ethics of Anglophone Arab Representations</t>
  </si>
  <si>
    <t>Schmitz, Markus</t>
  </si>
  <si>
    <t>Die Evolution der Religion : Ein soziologischer Grundriss</t>
  </si>
  <si>
    <t>Krech, Volkhard</t>
  </si>
  <si>
    <t>Religious Fundamentalism in the Age of Pandemic</t>
  </si>
  <si>
    <t>Käsehage, Nina</t>
  </si>
  <si>
    <t>Media Agency - Neue Ansätze zur Medialität in der Architektur</t>
  </si>
  <si>
    <t>Barlieb, Christophe</t>
  </si>
  <si>
    <t>Leistungsklassen und Geschlechtertests : Die heteronormative Logik des Sports</t>
  </si>
  <si>
    <t>Heckemeyer, Karolin</t>
  </si>
  <si>
    <t>Democratic and Authoritarian Political Systems in 21st Century World Society : Vol. 1 - Differentiation, Inclusion, Responsiveness</t>
  </si>
  <si>
    <t>Ahlers, Anna L.</t>
  </si>
  <si>
    <t>Friedensgutachten 2020 : Im Schatten der Pandemie: letzte Chance für Europa</t>
  </si>
  <si>
    <t>Armut und Umweltschutz : Potenziale und Barrieren im urbanen Raum Westafrikas</t>
  </si>
  <si>
    <t>Huber, Elisabeth</t>
  </si>
  <si>
    <t>Wasser als Gemeinsames : Potenziale und Probleme von Commoning bei Konflikten der Wasserbewirtschaftung</t>
  </si>
  <si>
    <t>Euler, Johannes</t>
  </si>
  <si>
    <t>Perspektiven pragmatischer Medienphilosophie : Grundlagen - Anwendungen - Praktiken</t>
  </si>
  <si>
    <t>Sandbothe, Mike</t>
  </si>
  <si>
    <t>The Redundant City : A Multi-Site Enquiry into Urban Narratives of Conflict and Change</t>
  </si>
  <si>
    <t>Kling, Norbert</t>
  </si>
  <si>
    <t>Radikalislamische YouTube-Propaganda : Eine qualitative Rezeptionsstudie unter jungen Erwachsenen</t>
  </si>
  <si>
    <t>Klevesath, Lino</t>
  </si>
  <si>
    <t>Das quantifizierte Selbst : Zur Genealogie des Self-Trackings</t>
  </si>
  <si>
    <t>Mämecke, Thorben</t>
  </si>
  <si>
    <t>Krankheit in Digitalen Spielen : Interdisziplinäre Betrachtungen</t>
  </si>
  <si>
    <t>Görgen, Arno</t>
  </si>
  <si>
    <t>Publikationsberatung an Universitäten : Ein Praxisleitfaden zum Aufbau publikationsunterstützender Services</t>
  </si>
  <si>
    <t>Lackner, Karin</t>
  </si>
  <si>
    <t>Markeninszenierung in Japan : Zur narrativen Konstruktion der Lifestyle-Marken »Muji« und »Uniqlo«</t>
  </si>
  <si>
    <t>Rühle, Christiane</t>
  </si>
  <si>
    <t>Moving Images : Mediating Migration as Crisis</t>
  </si>
  <si>
    <t>Lynes, Krista</t>
  </si>
  <si>
    <t>Technologisches Regieren : Der Aufstieg des Netzwerk-Denkens in der Krise der Moderne. Foucault, Luhmann und die Kybernetik</t>
  </si>
  <si>
    <t>August, Vincent</t>
  </si>
  <si>
    <t>TransCoding - From `Highbrow Art' to Participatory Culture : Social Media - Art - Research</t>
  </si>
  <si>
    <t>Lüneburg, Barbara</t>
  </si>
  <si>
    <t>Zivilgesellschaft in der Bundesrepublik Deutschland : Aufbrüche, Umbrüche, Ausblicke</t>
  </si>
  <si>
    <t>Grande, Brigitte</t>
  </si>
  <si>
    <t>Writing Emotions : Theoretical Concepts and Selected Case Studies in Literature</t>
  </si>
  <si>
    <t>Jandl, Ingeborg</t>
  </si>
  <si>
    <t>The Wealthy, the Brilliant, the Few : Elite Education in Contemporary American Discourse</t>
  </si>
  <si>
    <t>Spieler, Sophie</t>
  </si>
  <si>
    <t>Envisioning the World: Mapping and Making the Global</t>
  </si>
  <si>
    <t>Holtgreve, Sandra</t>
  </si>
  <si>
    <t>EU-Staatlichkeit zwischen Ausbau und Stagnation : Kritische Perspektiven auf die Transformationsprozesse in der Euro-Krise</t>
  </si>
  <si>
    <t>Gerken, Johannes</t>
  </si>
  <si>
    <t>Depression und Biographie : Krankheitserfahrungen migrierter Frauen in der Schweiz</t>
  </si>
  <si>
    <t>Trevisan, Amina</t>
  </si>
  <si>
    <t>Das Indernet : Eine rassismuskritische Internet-Ethnografie</t>
  </si>
  <si>
    <t>Goel, Urmila</t>
  </si>
  <si>
    <t>Moscheeleben in Deutschland : Eine Ethnographie zu Islamischem Wissen, Tradition und religiöser Autorität</t>
  </si>
  <si>
    <t>Akca, Ayse Almila</t>
  </si>
  <si>
    <t>Inklusion im kommunalen Raum : Sozialraumentwicklung im Kontext von Behinderung, Flucht und Demenz</t>
  </si>
  <si>
    <t>Refugee Routes : Telling, Looking, Protesting, Redressing</t>
  </si>
  <si>
    <t>Agnew, Vanessa</t>
  </si>
  <si>
    <t>Währung - Krise - Emotion : Kollektive Wahrnehmungsweisen von Wirtschaftskrisen</t>
  </si>
  <si>
    <t>Ziethen, Sanne</t>
  </si>
  <si>
    <t>Good White Queers? : Racism and Whiteness in Queer U.S. Comics</t>
  </si>
  <si>
    <t>Linke, Kai</t>
  </si>
  <si>
    <t>Energiewende und Megatrends : Wechselwirkungen von globaler Gesellschaftsentwicklung und Nachhaltigkeit</t>
  </si>
  <si>
    <t>Engler, Steven</t>
  </si>
  <si>
    <t>Tanz - Diversität - Inklusion : Jahrbuch TanzForschung 2018</t>
  </si>
  <si>
    <t>Quinten, Susanne</t>
  </si>
  <si>
    <t>Beyond the Mirror : Seeing in Art History and Visual Culture Studies</t>
  </si>
  <si>
    <t>Falkenhausen, Susanne von</t>
  </si>
  <si>
    <t>Sojourners and Settlers : Chinese Migrants in Hawaii</t>
  </si>
  <si>
    <t>Glick, Clarence E.</t>
  </si>
  <si>
    <t>Competition in World Politics : Knowledge, Strategies and Institutions</t>
  </si>
  <si>
    <t>Russ, Daniela</t>
  </si>
  <si>
    <t>Am Ende der Globalisierung : Über die Refiguration von Räumen</t>
  </si>
  <si>
    <t>Geschlechtsspezifische Gewalt in Zeiten der Digitalisierung : Formen und Interventionsstrategien</t>
  </si>
  <si>
    <t>bff: Bundesverband Frauenberatungsstellen und Frauennotrufe</t>
  </si>
  <si>
    <t>Der Offenbacher Ansatz : Zur Theorie der Produktsprache</t>
  </si>
  <si>
    <t>Schwer, Thilo</t>
  </si>
  <si>
    <t>Menschenrechte im Unternehmen durchsetzen : Internationale Arbeitnehmerrechte: Die UN-Leitprinzipien als Hebel für Betriebsräte und Gewerkschaften</t>
  </si>
  <si>
    <t>Hadwiger, Felix</t>
  </si>
  <si>
    <t>»Wir machen Kunst für Künstler« : Lohnarbeit in Kunstmanufakturen. Eine ethnografische Studie</t>
  </si>
  <si>
    <t>Schultheis, Franz</t>
  </si>
  <si>
    <t>Praktiken der (Im-)Mobilisierung : Lager, Sammelunterkünfte und Ankerzentren im Kontext von Asylregimen</t>
  </si>
  <si>
    <t>Devlin, Julia</t>
  </si>
  <si>
    <t>Generative Bildarbeit : Zum transformativen Potential fotografischer Praxis</t>
  </si>
  <si>
    <t>Brandner, Vera</t>
  </si>
  <si>
    <t>Überwachen und konsumieren : Kontrolle, Normen und soziale Beziehungen in der digitalen Gesellschaft</t>
  </si>
  <si>
    <t>Zurawski, Nils</t>
  </si>
  <si>
    <t>Grenzobjekte und Medienforschung : (hg. von Sebastian Gießmann und Nadine Taha)</t>
  </si>
  <si>
    <t>(verst.), Susan Leigh Star</t>
  </si>
  <si>
    <t>Der transgressive Charakter der Pornografie : Philosophische und feministische Positionen</t>
  </si>
  <si>
    <t>Schocher, Nathan</t>
  </si>
  <si>
    <t>Pop-Musik sammeln : Zehn ethnografische Tracks zwischen Plattenladen und Streamingportal</t>
  </si>
  <si>
    <t>Elster, Christian</t>
  </si>
  <si>
    <t>Alltag in der Moschee : Eine Feldforschung jenseits von Integrationsfragen</t>
  </si>
  <si>
    <t>Rückamp, Veronika</t>
  </si>
  <si>
    <t>Transdifferenz und Transkulturalität : Migration und Alterität in den Literaturen und Kulturen Österreich-Ungarns</t>
  </si>
  <si>
    <t>Millner, Alexandra</t>
  </si>
  <si>
    <t>Die Welt neu denken lernen - Plädoyer für eine planetare Politik : Lehren aus Corona und anderen existentiellen Krisen</t>
  </si>
  <si>
    <t>Wintersteiner, Werner</t>
  </si>
  <si>
    <t>Objekte im Netz : Wissenschaftliche Sammlungen im digitalen Wandel</t>
  </si>
  <si>
    <t>Andraschke, Udo</t>
  </si>
  <si>
    <t>Thinking the Problematic : Genealogies and Explorations between Philosophy and the Sciences</t>
  </si>
  <si>
    <t>Leistert, Oliver</t>
  </si>
  <si>
    <t>Mikro-Utopien der Architektur : Das utopische Moment architektonischer Minimaltechniken</t>
  </si>
  <si>
    <t>Meireis, Sandra</t>
  </si>
  <si>
    <t>Use Of Patented Traditional Chinese Medicine Against Covid-19: A Practical Manual</t>
  </si>
  <si>
    <t>Zhai, Huaqiang</t>
  </si>
  <si>
    <t>Biocomputing 2021 - Proceedings Of The Pacific Symposium</t>
  </si>
  <si>
    <t>The Buddhist Poetry of the Great Kamo Priestess : Daisaiin Senshi and Hosshin Wakashu</t>
  </si>
  <si>
    <t>Kamens, Edward</t>
  </si>
  <si>
    <t>Berufs- und Arbeitswelt in der Politischen Bildung : Über Bildungs- und Berufsvorstellungen Jugendlicher Am Ende der Sekundarstufe I in Deutschland Und Österreich</t>
  </si>
  <si>
    <t>Straub, Sarah</t>
  </si>
  <si>
    <t>Active Assisted Living : Anwendungsszenarien und lösungsansätze Für ein Selbstbestimmtes Leben</t>
  </si>
  <si>
    <t>Sailer, Marcel</t>
  </si>
  <si>
    <t>Brasilien : $bEine Einführung /$cPeter Birle (Hrsg. )</t>
  </si>
  <si>
    <t>Iberoamericana Editorial Vervuert</t>
  </si>
  <si>
    <t>Birle, Peter</t>
  </si>
  <si>
    <t>Sublinear Computation Paradigm : Algorithmic Revolution in the Big Data Era</t>
  </si>
  <si>
    <t>Katoh, Naoki</t>
  </si>
  <si>
    <t>Mutation Breeding, Genetic Diversity and Crop Adaptation to Climate Change</t>
  </si>
  <si>
    <t>Sivasankar, Sobhana</t>
  </si>
  <si>
    <t>Ancient Greek I : A 21st Century Approach</t>
  </si>
  <si>
    <t>Peek, Philip S.</t>
  </si>
  <si>
    <t>Circulation and Control : Artistic Culture and Intellectual Property in the Nineteenth Century</t>
  </si>
  <si>
    <t>Delamaire, Marie-Stéphanie</t>
  </si>
  <si>
    <t>Piracy in World History</t>
  </si>
  <si>
    <t>Amirell</t>
  </si>
  <si>
    <t>Agile Processes in Software Engineering and Extreme Programming - Workshops : XP 2021 Workshops, Virtual Event, June 14-18, 2021, Revised Selected Papers</t>
  </si>
  <si>
    <t>Von Einem Traum Getrieben : Wie der Physiker Rolf Widerøe Den Teilchenbeschleuniger Erfand</t>
  </si>
  <si>
    <t>Sørheim, Aashild</t>
  </si>
  <si>
    <t>Climate Change and Community Resilience : Insights from South Asia</t>
  </si>
  <si>
    <t>Haque, A. K. Enamul</t>
  </si>
  <si>
    <t>Educational Perspectives on Mediality and Subjectivation : Discourse, Power and Analysis</t>
  </si>
  <si>
    <t>Bettinger, Patrick</t>
  </si>
  <si>
    <t>Security-Aware Design of Cyber-Physical Systems for Control Applications</t>
  </si>
  <si>
    <t>Mahfouzi, Rouhollah</t>
  </si>
  <si>
    <t>A Path along Deep Learning for Medical Image Analysis : With Focus on Burn Wounds and Brain Tumors</t>
  </si>
  <si>
    <t>Cirillo, Marco Domenico</t>
  </si>
  <si>
    <t>Why Do We Even Bully? : Exploring the Social Processes of Bullying in Two Swedish Elementary Schools</t>
  </si>
  <si>
    <t>Strindberg, Joakim</t>
  </si>
  <si>
    <t>Performance and Optimization Aspects of Time Critical Networking</t>
  </si>
  <si>
    <t>Fountoulakis, Emmanouil</t>
  </si>
  <si>
    <t>How to Practice Academic Medicine and Publish from Developing Countries? : A Practical Guide</t>
  </si>
  <si>
    <t>Nundy, Samiran</t>
  </si>
  <si>
    <t>Pandemics: Insurance and Social Protection</t>
  </si>
  <si>
    <t>Boado-Penas, María del Carmen</t>
  </si>
  <si>
    <t>Transforming Markets : A Development Bank for the 21st Century. a History of the EBRD, Volume 2</t>
  </si>
  <si>
    <t>Understanding Well-Being Data : Improving Social and Cultural Policy, Practice and Research</t>
  </si>
  <si>
    <t>Oman, Susan</t>
  </si>
  <si>
    <t>Brand Content und Brand Image : Experimentelle Studie über Die Wirkung Von Brand Content Auf Imagedimensionen</t>
  </si>
  <si>
    <t>Albisser, Matthias</t>
  </si>
  <si>
    <t>Towards a Sustainable Future - Life Cycle Management : Challenges and Prospects</t>
  </si>
  <si>
    <t>Klos, Zbigniew Stanislaw</t>
  </si>
  <si>
    <t>Russische Errungenschaften in der Physiologie der Verdauung : Vom Späten 19. Bis Zum Beginnenden 20. Jahrhundert</t>
  </si>
  <si>
    <t>Balalykin, Dmitry A.</t>
  </si>
  <si>
    <t>Principles and Pedagogies in Jewish Education</t>
  </si>
  <si>
    <t>Chazan, Barry</t>
  </si>
  <si>
    <t>Arzneimittel-Kompass 2021 : Hochpreisige Arzneimittel - Herausforderung und Perspektiven</t>
  </si>
  <si>
    <t>Schröder, Helmut</t>
  </si>
  <si>
    <t>Access to Medicines and Vaccines : Implementing Flexibilities under Intellectual Property Law</t>
  </si>
  <si>
    <t>Correa, Carlos M.</t>
  </si>
  <si>
    <t>Chosen Peoples : Christianity and Political Imagination in South Sudan</t>
  </si>
  <si>
    <t>Tounsel, Christopher</t>
  </si>
  <si>
    <t>To Make Negro Literature : Writing, Literary Practice, and African American Authorship</t>
  </si>
  <si>
    <t>McHenry, Elizabeth</t>
  </si>
  <si>
    <t>Cybersecurity in Poland : Legal Aspects</t>
  </si>
  <si>
    <t>Chałubińska-Jentkiewicz, Katarzyna</t>
  </si>
  <si>
    <t>Digitalisierung in Studium und Lehre Gemeinsam Gestalten : Innovative Formate, Strategien und Netzwerke</t>
  </si>
  <si>
    <t>Hochschulforum Digitalisierung</t>
  </si>
  <si>
    <t>Gouverner la Biodiversité Ou Comment Réussir à échouer</t>
  </si>
  <si>
    <t>Devictor, Vincent</t>
  </si>
  <si>
    <t>The CIA in Ecuador</t>
  </si>
  <si>
    <t>Becker, Marc</t>
  </si>
  <si>
    <t>Moving Home : Gender, Place, and Travel Writing in the Early Black Atlantic</t>
  </si>
  <si>
    <t>Gunning, Sandra</t>
  </si>
  <si>
    <t>Colonial Debts : The Case of Puerto Rico</t>
  </si>
  <si>
    <t>Zambrana, Rocío</t>
  </si>
  <si>
    <t>The Comprehensive Cancer Center : Development, Integration, and Implementation</t>
  </si>
  <si>
    <t>Open Science: the Very Idea</t>
  </si>
  <si>
    <t>Miedema, Frank</t>
  </si>
  <si>
    <t>Studying Morphology Formation and Charge Separation in Organic Solar Cells</t>
  </si>
  <si>
    <t>Liu, Yanfeng</t>
  </si>
  <si>
    <t>Microvascular Effects of Insulin in the Skin</t>
  </si>
  <si>
    <t>Högstedt, Alexandra</t>
  </si>
  <si>
    <t>Physics of Earth's Radiation Belts : Theory and Observations</t>
  </si>
  <si>
    <t>Koskinen, Hannu E. J.</t>
  </si>
  <si>
    <t>Creating Resilient Futures : Integrating Disaster Risk Reduction, Sustainable Development Goals and Climate Change Adaptation Agendas</t>
  </si>
  <si>
    <t>Flood, Stephen</t>
  </si>
  <si>
    <t>Sociological Debates on Gestational Surrogacy : Between Legitimation and International Abolition</t>
  </si>
  <si>
    <t>Bandelli, Daniela</t>
  </si>
  <si>
    <t>Learning Cultural Literacy Through Creative Practices in Schools : Cultural and Multimodal Approaches to Meaning-Making</t>
  </si>
  <si>
    <t>Lähdesmäki, Tuuli</t>
  </si>
  <si>
    <t>World Protests : A Study of Key Protest Issues in the 21st Century</t>
  </si>
  <si>
    <t>Ortiz, Isabel</t>
  </si>
  <si>
    <t>Macroeconomic Modelling of R&amp;d and Innovation Policies</t>
  </si>
  <si>
    <t>Akcigit, Ufuk</t>
  </si>
  <si>
    <t>Partial Least Squares Structural Equation Modeling (PLS-SEM) Using R : A Workbook</t>
  </si>
  <si>
    <t>Hair Jr., Joseph F.</t>
  </si>
  <si>
    <t>The Anatomy of Post-Communist Regimes : A Conceptual Framework</t>
  </si>
  <si>
    <t>Magyar, Bálint</t>
  </si>
  <si>
    <t>Making Muslim Women European : Voluntary Associations, Gender, and Islam in Post-Ottoman Bosnia and Yugoslavia (1878-1941)</t>
  </si>
  <si>
    <t>Giomi, Fabio</t>
  </si>
  <si>
    <t>The Tsar, the Empire, and the Nation : Dilemmas of Nationalization in Russia's Western Borderlands, 1905-1915</t>
  </si>
  <si>
    <t>Staliūnas, Darius</t>
  </si>
  <si>
    <t>Nation and Migration : How Citizens in Europe Are Coping with Xenophobia</t>
  </si>
  <si>
    <t>Csepeli, György</t>
  </si>
  <si>
    <t>Documentary Making for Digital Humanists</t>
  </si>
  <si>
    <t>Reid, Darren R.</t>
  </si>
  <si>
    <t>Forms of Life and Subjectivity : Rethinking Sartre's Philosophy</t>
  </si>
  <si>
    <t>Rueda Garrido, Daniel</t>
  </si>
  <si>
    <t>Mobilitäts- und Transportrecht in Europa : Bestandsaufnahme und Zukunftsperspektiven</t>
  </si>
  <si>
    <t>Epitaxial Growth, Structure, and Thermoelectric Properties of Camn- and V-Based Oxides</t>
  </si>
  <si>
    <t>Ekström, Erik</t>
  </si>
  <si>
    <t>Acoustic Platform for MXene Synthesis and Electrochemical Behaviour of I-MXenes in Aqueous Electrolytes</t>
  </si>
  <si>
    <t>El Ghazaly, Ahmed</t>
  </si>
  <si>
    <t>On Lymphedema of the Lower Limbs after Treatment of Endometrial Cancer : With Emphasis on Incidence, Quality of Life, Risk Factors, and Health Economy</t>
  </si>
  <si>
    <t>Wedin, Madelene</t>
  </si>
  <si>
    <t>Multi-Omic Time-series Analysis of T-cells As a Model for Identification of Biomarkers, Treatments and Upstream Disease Regulators</t>
  </si>
  <si>
    <t>Rundquist, Olof</t>
  </si>
  <si>
    <t>Surgery in Armed Conflicts : Predicting Surgical Treatment Needs and Improving Resource Use in Resource-Constrained Settings</t>
  </si>
  <si>
    <t>Muhrbeck, Måns</t>
  </si>
  <si>
    <t>Tailoring Fluorescent Probes for Organelle-Specific Imaging and Sensing</t>
  </si>
  <si>
    <t>Zhang, Xin</t>
  </si>
  <si>
    <t>Image Dipoles and Polarons in Organic Semiconductors</t>
  </si>
  <si>
    <t>Chen, Yongzhen</t>
  </si>
  <si>
    <t>Computational Study of Polymerization, Crystallization and Mechanical Properties of Conducting Polymers</t>
  </si>
  <si>
    <t>Kim, Donghyun</t>
  </si>
  <si>
    <t>Das Begehren der Vielfalt : Diversity-Sensibilität in sozialpädagogischen Beziehungen</t>
  </si>
  <si>
    <t>Frühauf, Marie</t>
  </si>
  <si>
    <t>Deep Integration, Global Firms, and Technology Spillovers</t>
  </si>
  <si>
    <t>Jinji, Naoto</t>
  </si>
  <si>
    <t>Russia's Role in the Contemporary International Agri-Food Trade System</t>
  </si>
  <si>
    <t>Wegren, Stephen K.</t>
  </si>
  <si>
    <t>Dinaric Perspectives on TIMSS 2019 : Teaching and Learning Mathematics and Science in South-Eastern Europe</t>
  </si>
  <si>
    <t>Japelj Pavesić, Barbara</t>
  </si>
  <si>
    <t>The Post-Screen Through Virtual Reality, Holograms and Light Projections : Where Screen Boundaries Lie</t>
  </si>
  <si>
    <t>Ng, Jenna</t>
  </si>
  <si>
    <t>Better Work : The Impact of Automation, Flexibilization and Intensification of Work</t>
  </si>
  <si>
    <t>Kremer, Monique</t>
  </si>
  <si>
    <t>Surveying Climate-Relevant Behavior : Measurements, Obstacles, and Implications</t>
  </si>
  <si>
    <t>Hadler, Markus</t>
  </si>
  <si>
    <t>Periphery and Small Ones Matter : Interplay of Policy and Social Capital</t>
  </si>
  <si>
    <t>Groundwater Overexploitation in the North China Plain: a Path to Sustainability</t>
  </si>
  <si>
    <t>Kinzelbach, Wolfgang</t>
  </si>
  <si>
    <t>Automotive Remanufacturing in a Changing Market : Challenges and Opportunities in a Market with a Growing Share of Electric Cars</t>
  </si>
  <si>
    <t>Casper, Robert</t>
  </si>
  <si>
    <t>Developing Strategies for Improved Economic Performance and Reduced Climate Impact of Landfill Mining in Europe</t>
  </si>
  <si>
    <t>Esguerra, John Laurence</t>
  </si>
  <si>
    <t>Managing Variation in Hospital Patient Flows</t>
  </si>
  <si>
    <t>Olsson, Olle</t>
  </si>
  <si>
    <t>Perinatal Risk Factors for Type 1 Diabetes in Children and Adolescents</t>
  </si>
  <si>
    <t>Lindell, Nina</t>
  </si>
  <si>
    <t>Black Campus Life : The Worlds Black Students Make at a Historically White Institution</t>
  </si>
  <si>
    <t>Tichavakunda, Antar A.</t>
  </si>
  <si>
    <t>The Swedish FrameNet++ : Harmonization, Integration, Method Development and Practical Language Technology Applications</t>
  </si>
  <si>
    <t>Dannélls, Dana</t>
  </si>
  <si>
    <t>Understanding Energy Innovation : Learning from Smart Grid Experiments</t>
  </si>
  <si>
    <t>Lovell, Heather</t>
  </si>
  <si>
    <t>Sustainable Mobility for Island Destinations</t>
  </si>
  <si>
    <t>Tsoutsos, Theocharis</t>
  </si>
  <si>
    <t>A Resource for Quantum Computation</t>
  </si>
  <si>
    <t>Johansson, Niklas</t>
  </si>
  <si>
    <t>Infertility in Men in Relation to Their Birth Characteristics</t>
  </si>
  <si>
    <t>Liffner, Susanne</t>
  </si>
  <si>
    <t>A Parental Perspective on child Chronic Kidney Disease : The Lived Experience of Caregiving in Portugal</t>
  </si>
  <si>
    <t>Bruno de Sousa, Andréa</t>
  </si>
  <si>
    <t>Dementia, Sense-Making and Evaluations : Implications for Communication</t>
  </si>
  <si>
    <t>Lindeberg, Sophia</t>
  </si>
  <si>
    <t>Urban Matters : Current Approaches in Variationist Sociolinguistics</t>
  </si>
  <si>
    <t>Ziegler, Arne</t>
  </si>
  <si>
    <t>Economy Studies : A Guide to Rethinking Economics Education</t>
  </si>
  <si>
    <t>de Muijnck, Sam</t>
  </si>
  <si>
    <t>Integrated Nematode Management : State-Of-the-Art and Visions for the Future</t>
  </si>
  <si>
    <t>Sikora, Richard</t>
  </si>
  <si>
    <t>Une écologie de L'alimentation</t>
  </si>
  <si>
    <t>Authorizing Early Modern European Women : From Biography to Biofiction</t>
  </si>
  <si>
    <t>Fitzmaurice, James</t>
  </si>
  <si>
    <t>Towards Resilient Organizations and Societies : A Cross-Sectoral and Multi-Disciplinary Perspective</t>
  </si>
  <si>
    <t>Pinheiro, Rómulo</t>
  </si>
  <si>
    <t>The Distributed University for Sustainable Higher Education</t>
  </si>
  <si>
    <t>Heller, Richard Frederick</t>
  </si>
  <si>
    <t>Urban Inequality and Segregation in Europe and China : Towards a New Dialogue</t>
  </si>
  <si>
    <t>Pryce, Gwilym</t>
  </si>
  <si>
    <t>Development and Characterization of a Dispersion-Encoded Method for Low-Coherence Interferometry</t>
  </si>
  <si>
    <t>Taudt, Christopher</t>
  </si>
  <si>
    <t>Freiwilliges Engagement in Deutschland : Der Deutsche Freiwilligensurvey 2019</t>
  </si>
  <si>
    <t>Continental Philosophy of Technoscience</t>
  </si>
  <si>
    <t>Zwart, Hub</t>
  </si>
  <si>
    <t>Uprooting Bias in the Academy : Lessons from the Field</t>
  </si>
  <si>
    <t>Bisson, Linda F.</t>
  </si>
  <si>
    <t>Perspectives on Digital Humanism</t>
  </si>
  <si>
    <t>Werthner, Hannes</t>
  </si>
  <si>
    <t>Greening the Greyfields : New Models for Regenerating the Middle Suburbs of Low-Density Cities</t>
  </si>
  <si>
    <t>Newton, Peter W.</t>
  </si>
  <si>
    <t>Life Skills Education for Youth : Critical Perspectives</t>
  </si>
  <si>
    <t>DeJaeghere, Joan</t>
  </si>
  <si>
    <t>Research Methodologies and Ethical Challenges in Digital Migration Studies : Caring for (Big) Data?</t>
  </si>
  <si>
    <t>Sandberg, Marie</t>
  </si>
  <si>
    <t>Land Governance and Gender : The Tenure-Gender Nexus in Land Management and Land Policy</t>
  </si>
  <si>
    <t>Chigbu, Uchendu Eugene</t>
  </si>
  <si>
    <t>Networks and Geographies of Global Social Policy Diffusion : Culture, Economy, and Colonial Legacies</t>
  </si>
  <si>
    <t>Windzio, Michael</t>
  </si>
  <si>
    <t>Climate-Smart Forestry in Mountain Regions</t>
  </si>
  <si>
    <t>Tognetti, Roberto</t>
  </si>
  <si>
    <t>Swiss Energy Governance : Political, Economic and Legal Challenges and Opportunities in the Energy Transition</t>
  </si>
  <si>
    <t>Hettich, Peter</t>
  </si>
  <si>
    <t>Japan Nutrition</t>
  </si>
  <si>
    <t>Nakamura, Teiji</t>
  </si>
  <si>
    <t>Künstliche Intelligenz in der Forschung : Neue Möglichkeiten und Herausforderungen Für Die Wissenschaft</t>
  </si>
  <si>
    <t>Gethmann, Carl Friedrich</t>
  </si>
  <si>
    <t>Empire under the Microscope : Parasitology and the British Literary Imagination, 1885-1935</t>
  </si>
  <si>
    <t>Taylor-Pirie, Emilie</t>
  </si>
  <si>
    <t>Clinical Impact of Bloodstream Infections - Characterization, Risk Factors and Outcome</t>
  </si>
  <si>
    <t>Holmbom, Martin</t>
  </si>
  <si>
    <t>Parasites, Pussycats and Psychosis : The Unknown Dangers of Human Toxoplasmosis</t>
  </si>
  <si>
    <t>Torrey, E. Fuller</t>
  </si>
  <si>
    <t>Méthodes d'investigation de l'alimentation et des Mangeurs : Miam</t>
  </si>
  <si>
    <t>Originality, Imitation, and Plagiarism : Teaching Writing in the Digital Age</t>
  </si>
  <si>
    <t>Vicinus, Martha</t>
  </si>
  <si>
    <t>The Hyperlinked Society : Questioning Connections in the Digital Age</t>
  </si>
  <si>
    <t>Turow, Joseph</t>
  </si>
  <si>
    <t>Silent Hill : The Terror Engine</t>
  </si>
  <si>
    <t>Perron, Bernard</t>
  </si>
  <si>
    <t>Iron Will : Global Extractivism and Mining Resistance in Brazil and India</t>
  </si>
  <si>
    <t>Kroger, Markus</t>
  </si>
  <si>
    <t>Soziale Armut : Wahrnehmung und Bewältigung Von Armut in Sozialen Netzwerken</t>
  </si>
  <si>
    <t>Knabe, André</t>
  </si>
  <si>
    <t>Socio-Life Science and the COVID-19 Outbreak : Public Health and Public Policy</t>
  </si>
  <si>
    <t>Yano, Makoto</t>
  </si>
  <si>
    <t>China's Long-Term Low-Carbon Development Strategies and Pathways : Comprehensive Report</t>
  </si>
  <si>
    <t>Institute of Climate Change and Sustainable Development of Tsinghua University et al., Institute of</t>
  </si>
  <si>
    <t>The Gender Regime of Anti-Liberal Hungary</t>
  </si>
  <si>
    <t>Fodor, Éva</t>
  </si>
  <si>
    <t>Summation-By-parts Formulations for Flow Problems</t>
  </si>
  <si>
    <t>Laurén, Fredrik</t>
  </si>
  <si>
    <t>Real-Time Multi-exposure Laser Speckle Contrast Imaging of Skin Microcirculatory Perfusion</t>
  </si>
  <si>
    <t>Hultman, Martin</t>
  </si>
  <si>
    <t>Biocomputing 2022 - Proceedings Of The Pacific Symposium</t>
  </si>
  <si>
    <t>Transformer le Lait Local en Afrique de L'Ouest : Procédés et Clés du développement des Minilaiteries</t>
  </si>
  <si>
    <t>Broutin, Cécile</t>
  </si>
  <si>
    <t>Coexistence et Confrontation des Modèles Agricoles et Alimentaires : Un Nouveau Paradigme du développement Territorial ?</t>
  </si>
  <si>
    <t>Reimagining Science Education in the Anthropocene</t>
  </si>
  <si>
    <t>Wallace, Maria F. G.</t>
  </si>
  <si>
    <t>Sustainable Commodity Use : Its Governance, Legal Framework, and Future Regulatory Instruments</t>
  </si>
  <si>
    <t>Oehl, Maximilian Eduard</t>
  </si>
  <si>
    <t>Water Security, Conflict and Cooperation in Peri-Urban South Asia : Flows Across Boundaries</t>
  </si>
  <si>
    <t>Narain, Vishal</t>
  </si>
  <si>
    <t>Banishment in the Late Medieval Eastern Netherlands : Exile and Redemption in Kampen</t>
  </si>
  <si>
    <t>Frankot, Edda</t>
  </si>
  <si>
    <t>Green Economy in the Transport Sector : A Case Study of Limpopo Province, South Africa</t>
  </si>
  <si>
    <t>Odiyo, John Ogony</t>
  </si>
  <si>
    <t>Knowledge and Civil Society</t>
  </si>
  <si>
    <t>Governance and Service Delivery : Practical Applications of Social Accountability Across Sectors</t>
  </si>
  <si>
    <t>RTI International / RTI Press</t>
  </si>
  <si>
    <t>Wetterberg, Anna</t>
  </si>
  <si>
    <t>Improving Outcomes for Noncommunicable Diseases in Low- and Middle-Income Countries</t>
  </si>
  <si>
    <t>LaBresh, Kenneth A.</t>
  </si>
  <si>
    <t>Innovations in Home Energy Use : A Sourcebook for Behavior Change</t>
  </si>
  <si>
    <t>Southwell, Brian G.</t>
  </si>
  <si>
    <t>The Essential Role of Language in Survey Research</t>
  </si>
  <si>
    <t>Sha, Mandy</t>
  </si>
  <si>
    <t>Patient-Reported Outcomes in Performance Measurement</t>
  </si>
  <si>
    <t>Cella, David</t>
  </si>
  <si>
    <t>Shale Oil and Gas : The Promise and the Peril, Revised and Updated</t>
  </si>
  <si>
    <t>Rao, Vikram</t>
  </si>
  <si>
    <t>Reproducibility : A Primer on Semantics and Implications for Research</t>
  </si>
  <si>
    <t>Pellizzari, Edo</t>
  </si>
  <si>
    <t>Young Adults in the Workplace : A Multisite Initiative of Substance Use Prevention Programs</t>
  </si>
  <si>
    <t>Bray, Jeremy W.</t>
  </si>
  <si>
    <t>Cultivating Dynamic Educators : Case Studies in Teacher Behavior Change in Africa and Asia</t>
  </si>
  <si>
    <t>Pouezevara, Sarah</t>
  </si>
  <si>
    <t>Shale Gas : The Promise and the Peril</t>
  </si>
  <si>
    <t>The Nation's Health Care Bill : Who Bears the Burden? a Chartbook</t>
  </si>
  <si>
    <t>Cromwell, Jerry</t>
  </si>
  <si>
    <t>Measuring Nonuse Damages Using Contingent Valuation : An Experimental Evaluation of Accuracy</t>
  </si>
  <si>
    <t>Desvousges, William H.</t>
  </si>
  <si>
    <t>The Early Grade Reading Assessment : Applications and Interventions to Improve Basic Literacy</t>
  </si>
  <si>
    <t>Gove, Amber</t>
  </si>
  <si>
    <t>Pay for Performance in Health Care : Methods and Approaches</t>
  </si>
  <si>
    <t>Dissecting American Health Care : Commentaries on Health, Policy, and Politics</t>
  </si>
  <si>
    <t>Kamerow, Douglas</t>
  </si>
  <si>
    <t>Aerosol Science and Technology : History and Reviews</t>
  </si>
  <si>
    <t>Ensor, David</t>
  </si>
  <si>
    <t>National Assessment Approach to Sampling Error Estimation</t>
  </si>
  <si>
    <t>Folsom, Ralph E.</t>
  </si>
  <si>
    <t>Methods in Statistical Genomics : In the Context of Genome-Wide Association Studies</t>
  </si>
  <si>
    <t>Cooley, Philip Chester</t>
  </si>
  <si>
    <t>Noncognitive Skills in the Classroom : New Perspectives on Educational Research</t>
  </si>
  <si>
    <t>Rosen, Jeffrey A.</t>
  </si>
  <si>
    <t>Leveraging Data for Student Success : Improving Education Through Data-Driven Decisions</t>
  </si>
  <si>
    <t>Knapp, Laura G.</t>
  </si>
  <si>
    <t>Uncertainty in Engineering : Introduction to Methods and Applications</t>
  </si>
  <si>
    <t>Aslett, Louis J. M.</t>
  </si>
  <si>
    <t>Sprachbildung in der Lehramtsausbildung Mathematik : Konzepte Für eine Sprachbewusste Hochschullehre</t>
  </si>
  <si>
    <t>Schacht, Florian</t>
  </si>
  <si>
    <t>Makers at School, Educational Robotics and Innovative Learning Environments : Research and Experiences from FabLearn Italy 2019, in the Italian Schools and Beyond</t>
  </si>
  <si>
    <t>Scaradozzi, David</t>
  </si>
  <si>
    <t>Zero Distance : Management in the Quantum Age</t>
  </si>
  <si>
    <t>Zohar, Danah</t>
  </si>
  <si>
    <t>Biometric Identification, Law and Ethics</t>
  </si>
  <si>
    <t>Smith, Marcus</t>
  </si>
  <si>
    <t>The Association Between Moral Disengagement and Bullying in Early Adolescence</t>
  </si>
  <si>
    <t>Bjärehed, Marlene</t>
  </si>
  <si>
    <t>The Value of Immigrants' Human Capital for Labour Market Integration</t>
  </si>
  <si>
    <t>Tibajev, Andrey</t>
  </si>
  <si>
    <t>Dynamic Visual Learning</t>
  </si>
  <si>
    <t>Johnander, Joakim</t>
  </si>
  <si>
    <t>Ye Shall Know Them by Their Fruits : A Mixed Methods Study on Corruption, Competitiveness, and Christianity in Europe and the Americas</t>
  </si>
  <si>
    <t>García Portilla, Jason</t>
  </si>
  <si>
    <t>Words in Space and Time : A Historical Atlas of Language Politics in Modern Central Europe</t>
  </si>
  <si>
    <t>Kamusella, Tomasz</t>
  </si>
  <si>
    <t>Constructing Identities over Time : Bad Gypsies and Good Roma in Russia and Hungary</t>
  </si>
  <si>
    <t>Dunajeva, Jekatyerina</t>
  </si>
  <si>
    <t>Die Rolle Von Unternehmen Im IFRS-Standardsetzungsprozess : Analyse Anhand Ausgewählter Regelungen Zur Umsatzerfassung Aus Mehrkomponentengeschäften Nach IFRS 15</t>
  </si>
  <si>
    <t>Jendreck, Annekatrin</t>
  </si>
  <si>
    <t>Epidicus by Plautus : An Annotated Latin Text, with a Prose Translation</t>
  </si>
  <si>
    <t>Tracy, Catherine</t>
  </si>
  <si>
    <t>Coping : A Philosophical Guide</t>
  </si>
  <si>
    <t>Bovens, Luc</t>
  </si>
  <si>
    <t>Mary Warnock : Ethics, Education and Public Policy in Post-War Britain</t>
  </si>
  <si>
    <t>Graham, Philip</t>
  </si>
  <si>
    <t>The Great Reset : 2021 European Public Investment Outlook</t>
  </si>
  <si>
    <t>Auld Lang Syne : A Song and Its Culture</t>
  </si>
  <si>
    <t>Grant, Morag Josephine</t>
  </si>
  <si>
    <t>Culture and Science</t>
  </si>
  <si>
    <t>Sommermann, Karl-Peter</t>
  </si>
  <si>
    <t>Formalization of Banking Supervision : 19th-20th Centuries</t>
  </si>
  <si>
    <t>Hotori, Eiji</t>
  </si>
  <si>
    <t>Themenkarrieren in der Wissenschaft : Die Entstehung der Themen Stadtschrumpfung und Klimawandel in der Raumforschung</t>
  </si>
  <si>
    <t>Gravert, Andreas</t>
  </si>
  <si>
    <t>Erwerbsarbeit Von Müttern und Frühkindliche Fremdbetreuung : Eine Integrative Betrachtung Von Wohlfahrtseffekten</t>
  </si>
  <si>
    <t>Schrader, Sonja Maria</t>
  </si>
  <si>
    <t>Outcomes of Open Adoption from Care : An Australian Contribution to an International Debate</t>
  </si>
  <si>
    <t>Ward, Harriet</t>
  </si>
  <si>
    <t>A Guide to Sustainable Corporate Responsibility : From Theory to Action</t>
  </si>
  <si>
    <t>Ditlev-Simonsen, Caroline D.</t>
  </si>
  <si>
    <t>Counter-Terrorism, Ethics and Technology : Emerging Challenges at the Frontiers of Counter-Terrorism</t>
  </si>
  <si>
    <t>Henschke, Adam</t>
  </si>
  <si>
    <t>Prosthetic Body Parts in Nineteenth-Century Literature and Culture</t>
  </si>
  <si>
    <t>Sweet, Ryan</t>
  </si>
  <si>
    <t>The Belt and Road Initiative Green Development Case Studies Report 2020</t>
  </si>
  <si>
    <t>BRI International Green Development</t>
  </si>
  <si>
    <t>Sociology of Interdisciplinarity : The Dynamics of Energy Research</t>
  </si>
  <si>
    <t>Silvast, Antti</t>
  </si>
  <si>
    <t>Migration and Pandemics : Spaces of Solidarity and Spaces of Exception</t>
  </si>
  <si>
    <t>Towards an Emissions Trading System in Mexico: Rationale, Design and Connections with the Global Climate Agenda : Outlook on the First ETS in Latin-America and Exploration of the Way Forward</t>
  </si>
  <si>
    <t>Lucatello, Simone</t>
  </si>
  <si>
    <t>Cold War Civil Defence in Western Europe : Sociotechnical Imaginaries of Survival and Preparedness</t>
  </si>
  <si>
    <t>Cronqvist, Marie</t>
  </si>
  <si>
    <t>Co-Creativity and Engaged Scholarship : Transformative Methods in Social Sustainability Research</t>
  </si>
  <si>
    <t>Franklin, Alex</t>
  </si>
  <si>
    <t>Digitalisierung Souverän Gestalten II : Handlungsspielräume in Digitalen Wertschöpfungsnetzwerken</t>
  </si>
  <si>
    <t>Happiness--Concept, Measurement and Promotion</t>
  </si>
  <si>
    <t>Ng, Yew-Kwang</t>
  </si>
  <si>
    <t>Dynamics in Logistics : Twenty-Five Years of Interdisciplinary Logistics Research in Bremen, Germany</t>
  </si>
  <si>
    <t>Freitag, Michael</t>
  </si>
  <si>
    <t>No Truth Without Beauty : God, the Qur'an, and Women's Rights</t>
  </si>
  <si>
    <t>El-Ali, Leena</t>
  </si>
  <si>
    <t>The Psychosocial Reality of Digital Travel : Being in Virtual Places</t>
  </si>
  <si>
    <t>Tjostheim, Ingvar</t>
  </si>
  <si>
    <t>Space, Place and Educational Settings</t>
  </si>
  <si>
    <t>Freytag, Tim</t>
  </si>
  <si>
    <t>Life Cycle Assessment of Agri-Food Systems : An Operational Guide Dedicated to Developing and Emerging Economies</t>
  </si>
  <si>
    <t>Basset-Mens, Claudine</t>
  </si>
  <si>
    <t>Feminist and LGBTI+ Activism Across Russia, Scandinavia and Turkey : Transnationalizing Spaces of Resistance</t>
  </si>
  <si>
    <t>Çağatay, Selin</t>
  </si>
  <si>
    <t>Opportunities and Challenges for New and Peripheral Political Science Communities : A Consolidated Discipline?</t>
  </si>
  <si>
    <t>Ilonszki, Gabriella</t>
  </si>
  <si>
    <t>Modeling and Model-Based Control of Automotive Air Paths</t>
  </si>
  <si>
    <t>Holmbom, Robin</t>
  </si>
  <si>
    <t>Ulnar Fractures and Ligament Injuries of the Wrist</t>
  </si>
  <si>
    <t>Moloney, Maria</t>
  </si>
  <si>
    <t>Staged Otherness : Ethnic Shows in Central and Eastern Europe, 1850-1939</t>
  </si>
  <si>
    <t>Demski, Dagnosław</t>
  </si>
  <si>
    <t>Wie Sprache Dem Verstehen Hilft : Ergebnisse Einer Interventionsstudie Zu Sprachsensiblem Geographieunterricht</t>
  </si>
  <si>
    <t>Wey, Santina</t>
  </si>
  <si>
    <t>Social Innovation in Higher Education : Landscape, Practices, and Opportunities</t>
  </si>
  <si>
    <t>Păunescu, Carmen</t>
  </si>
  <si>
    <t>Sexualisierte Gewalt und Digitale Medien : Reflexive Handlungsempfehlungen Für Die Fachpraxis</t>
  </si>
  <si>
    <t>Vobbe, Frederic</t>
  </si>
  <si>
    <t>A Climate of Justice: an Ethical Foundation for Environmentalism</t>
  </si>
  <si>
    <t>Brown, Marvin T.</t>
  </si>
  <si>
    <t>Piroddi, Luigi</t>
  </si>
  <si>
    <t>Management by Missions : Connecting People to Strategy Through Purpose</t>
  </si>
  <si>
    <t>Cardona, Pablo</t>
  </si>
  <si>
    <t>Die Explorative Tympanoskopie Mit Obliteration des Runden/ovalen Fensters in der Behandlung des Hörsturzes : State of the Art</t>
  </si>
  <si>
    <t>Eichhorn, Thomas</t>
  </si>
  <si>
    <t>The Asian 21st Century</t>
  </si>
  <si>
    <t>Mahbubani, Kishore</t>
  </si>
  <si>
    <t>Seamless Learning : Grenz- und Kontextübergreifendes Lehren und Lernen in der Bodenseeregion</t>
  </si>
  <si>
    <t>Dilger, Bernadette</t>
  </si>
  <si>
    <t>Academic Flying and the Means of Communication</t>
  </si>
  <si>
    <t>Bjørkdahl, Kristian</t>
  </si>
  <si>
    <t>Agricultural Value Chains in India : Ensuring Competitiveness, Inclusiveness, Sustainability, Scalability, and Improved Finance</t>
  </si>
  <si>
    <t>Annals of Scientific Society for Assembly, Handling and Industrial Robotics 2021</t>
  </si>
  <si>
    <t>Schüppstuhl, Thorsten</t>
  </si>
  <si>
    <t>Green Consensus and High Quality Development : CCICED Annual Policy Report 2020</t>
  </si>
  <si>
    <t>CCICED</t>
  </si>
  <si>
    <t>Monitoring State Compliance with the un Convention on the Rights of the Child : An Analysis of Attributes</t>
  </si>
  <si>
    <t>Vaghri, Ziba</t>
  </si>
  <si>
    <t>Peer Review in an Era of Evaluation : Understanding the Practice of Gatekeeping in Academia</t>
  </si>
  <si>
    <t>Forsberg, Eva</t>
  </si>
  <si>
    <t>The Autofictional : Approaches, Affordances, Forms</t>
  </si>
  <si>
    <t>Effe, Alexandra</t>
  </si>
  <si>
    <t>Data-Driven Fault Detection and Reasoning for Industrial Monitoring</t>
  </si>
  <si>
    <t>Wang, Jing</t>
  </si>
  <si>
    <t>Climate of the Middle : Understanding Climate Change As a Common Challenge</t>
  </si>
  <si>
    <t>Siegmann, Arjen</t>
  </si>
  <si>
    <t>Information and Communication Technologies in Tourism 2022 : Proceedings of the ENTER 2022 ETourism Conference, January 11-14 2022</t>
  </si>
  <si>
    <t>Stienmetz, Jason L.</t>
  </si>
  <si>
    <t>Collapsing Structures and Public Mismanagement</t>
  </si>
  <si>
    <t>Seibel, Wolfgang</t>
  </si>
  <si>
    <t>Religion and Governance in England's Emerging Colonial Empire, 1601-1698</t>
  </si>
  <si>
    <t>Smith, Haig Z.</t>
  </si>
  <si>
    <t>Memory Crash : Politics of History in and Around Ukraine, 1980s-2010s</t>
  </si>
  <si>
    <t>Kasianov, Georgiy</t>
  </si>
  <si>
    <t>In Contempt : Defending Free Speech, Defeating HUAC</t>
  </si>
  <si>
    <t>Yellin, Ed</t>
  </si>
  <si>
    <t>Das Co-Creation Toolbook : Methoden Für eine Erfolgreiche Kooperation Zwischen Hochschule und Gesellschaft</t>
  </si>
  <si>
    <t>Kurzhals, Kerstin</t>
  </si>
  <si>
    <t>A Multidisciplinary Approach to Capability in Age and Ageing</t>
  </si>
  <si>
    <t>Falk Erhag, Hanna</t>
  </si>
  <si>
    <t>Horos : Ancient Boundaries and the Ecology of Stone</t>
  </si>
  <si>
    <t>Potter, Thea</t>
  </si>
  <si>
    <t>Points of Contact : The Shared Intellectual History of Vocalisation in Syriac, Arabic, and Hebrew</t>
  </si>
  <si>
    <t>Posegay, Nick</t>
  </si>
  <si>
    <t>Making the Void Fruitful : Yeats As Spiritual Seeker and Petrarchan Lover</t>
  </si>
  <si>
    <t>Keane, Patrick J.</t>
  </si>
  <si>
    <t>Anthropologies of Global Maternal and Reproductive Health : From Policy Spaces to Sites of Practice</t>
  </si>
  <si>
    <t>Wallace, Lauren J.</t>
  </si>
  <si>
    <t>Pedagogical Realities of Implementing Task-Based Language Teaching</t>
  </si>
  <si>
    <t>Erlam, Rosemary</t>
  </si>
  <si>
    <t>Transformational Change for People and the Planet : Evaluating Environment and Development</t>
  </si>
  <si>
    <t>Uitto, Juha I.</t>
  </si>
  <si>
    <t>Der Glaube an Big Data : Eine Analyse Gesellschaftlicher Überzeugungen Von Erkenntnis- und Nutzengewinnen Aus Digitalen Daten</t>
  </si>
  <si>
    <t>Lünich, Marco</t>
  </si>
  <si>
    <t>Narrative Praktiken Von Unternehmen : Imagefördernde Selbstdarstellungen Im Internet</t>
  </si>
  <si>
    <t>Ackermann, Ulrike</t>
  </si>
  <si>
    <t>Multivariate Statistical Machine Learning Methods for Genomic Prediction</t>
  </si>
  <si>
    <t>Montesinos López, Osval Antonio</t>
  </si>
  <si>
    <t>Genresignaturen : Diskurshistorische Perspektiven Auf das Psycho-Universum Von 1960 Bis 2017</t>
  </si>
  <si>
    <t>Kirsten, Karina</t>
  </si>
  <si>
    <t>Japan's Peacekeeping at a Crossroads : Taking a Robust Stance or Remaining Hesitant?</t>
  </si>
  <si>
    <t>Fujishige, Hiromi Nagata</t>
  </si>
  <si>
    <t>Models for Dispatch of Volunteers in Daily Emergency Response</t>
  </si>
  <si>
    <t>Matinrad, Niki</t>
  </si>
  <si>
    <t>Modeling and Control for Emission Management in Hybrid Electric Commercial Vehicles</t>
  </si>
  <si>
    <t>Holmer, Olov</t>
  </si>
  <si>
    <t>Everyday Life under Communism and After : Lifestyle and Consumption in Hungary, 1945-2000</t>
  </si>
  <si>
    <t>Valuch, Tibor</t>
  </si>
  <si>
    <t>»Deeply Superficial« : Andy Warhols Amerika-Images der 1950er und 1960er als Kulturkritik</t>
  </si>
  <si>
    <t>Deiss, Mélanie-Chantal</t>
  </si>
  <si>
    <t>A Player and a Gentleman : The Diary of Harry Watkins, Nineteenth-Century U. S. American Actor</t>
  </si>
  <si>
    <t>Hughes, Amy E.</t>
  </si>
  <si>
    <t>Surrender : How the Clinton Administration Completed the Reagan Revolution</t>
  </si>
  <si>
    <t>Meeropol, Michael Allen</t>
  </si>
  <si>
    <t>Signal Processing Aspects of Massive MIMO and IRS-Aided Communications</t>
  </si>
  <si>
    <t>Özdogan, Özgecan</t>
  </si>
  <si>
    <t>Architecture and Development : Israeli Construction in Sub-Saharan Africa and the Settler Colonial Imagination, 1958-1973</t>
  </si>
  <si>
    <t>Levin, Ayala</t>
  </si>
  <si>
    <t>China in the World : Culture, Politics, and World Vision</t>
  </si>
  <si>
    <t>Wang, Ban</t>
  </si>
  <si>
    <t>Scales of Captivity : Racial Capitalism and the Latinx Child</t>
  </si>
  <si>
    <t>Brady, Mary Pat</t>
  </si>
  <si>
    <t>The Russian Revolutions Of 1917 : The Northern Impact and Beyond</t>
  </si>
  <si>
    <t>Myklebost, Kari Aga</t>
  </si>
  <si>
    <t>Film As Embodied Art : Bodily Meaning in the Cinema of Stanley Kubrick</t>
  </si>
  <si>
    <t>Coëgnarts, Maarten</t>
  </si>
  <si>
    <t>Forms of List-Making: Epistemic, Literary, and Visual Enumeration</t>
  </si>
  <si>
    <t>Barton, Roman Alexander</t>
  </si>
  <si>
    <t>Before They Were Titans : Essays on the Early Works of Dostoevsky and Tolstoy</t>
  </si>
  <si>
    <t>Allen, Elizabeth Cheresh</t>
  </si>
  <si>
    <t>Relational Anthropology for Contemporary Economics : A Multidisciplinary Approach</t>
  </si>
  <si>
    <t>van Nes, Jermo</t>
  </si>
  <si>
    <t>Cyber Security : 18th China Annual Conference, CNCERT 2021, Beijing, China, July 20-21, 2021, Revised Selected Papers</t>
  </si>
  <si>
    <t>Central Bank Policy Mix: Issues, Challenges, and Policy Responses : Handbook of Central Banking Studies</t>
  </si>
  <si>
    <t>Warjiyo, Perry</t>
  </si>
  <si>
    <t>The Plaston Concept : Plastic Deformation in Structural Materials</t>
  </si>
  <si>
    <t>Atlas of Global Change Risk of Population and Economic Systems</t>
  </si>
  <si>
    <t>Shi, Peijun</t>
  </si>
  <si>
    <t>The Sharing Economy in Europe : Developments, Practices, and Contradictions</t>
  </si>
  <si>
    <t>Česnuitytė, Vida</t>
  </si>
  <si>
    <t>Golden Years of Australian Radio Astronomy : An Illustrated History</t>
  </si>
  <si>
    <t>Orchiston, Wayne</t>
  </si>
  <si>
    <t>Green Infrastructure and Climate Change Adaptation : Function, Implementation and Governance</t>
  </si>
  <si>
    <t>Nakamura, Futoshi</t>
  </si>
  <si>
    <t>Interlocal Adaptations to Climate Change in East and Southeast Asia : Sharing Lessons of Agriculture, Disaster Risk Reduction, and Resource Management</t>
  </si>
  <si>
    <t>Ito, Tetsuji</t>
  </si>
  <si>
    <t>Biomarkers in Brain Tumors with Focus on Glioblastoma</t>
  </si>
  <si>
    <t>Lysiak, Malgorzata</t>
  </si>
  <si>
    <t>The Nation Form in the Global Age : Ethnographic Perspectives</t>
  </si>
  <si>
    <t>Ahmad, Irfan</t>
  </si>
  <si>
    <t>Aviation Noise Impact Management : Technologies, Regulations, and Societal Well-Being in Europe</t>
  </si>
  <si>
    <t>Leylekian, Laurent</t>
  </si>
  <si>
    <t>Micro-Management of Irregular Migration : Internal Borders and Public Services in London and Barcelona</t>
  </si>
  <si>
    <t>Schweitzer, Reinhard</t>
  </si>
  <si>
    <t>Climate Adaptation Modelling</t>
  </si>
  <si>
    <t>Kondrup, Claus</t>
  </si>
  <si>
    <t>Prevention and Treatment of Atherosclerosis : Improving State-Of-the-Art Management and Search for Novel Targets</t>
  </si>
  <si>
    <t>The Advisory Roles of Political Scientists in Europe : Comparing Engagements in Policy Advisory Systems</t>
  </si>
  <si>
    <t>Brans, Marleen</t>
  </si>
  <si>
    <t>Handbook of Digital Face Manipulation and Detection : From DeepFakes to Morphing Attacks</t>
  </si>
  <si>
    <t>Rathgeb, Christian</t>
  </si>
  <si>
    <t>Unintended Lessons of Revolution : Student Teachers and Political Radicalism in Twentieth-Century Mexico</t>
  </si>
  <si>
    <t>Padilla, Tanalís</t>
  </si>
  <si>
    <t>Interplay of Things : Religion, Art, and Presence Together</t>
  </si>
  <si>
    <t>Pinn, Anthony B.</t>
  </si>
  <si>
    <t>Experimenting with Ethnography : A Companion to Analysis</t>
  </si>
  <si>
    <t>At the Limits of Cure</t>
  </si>
  <si>
    <t>Venkat, Bharat Jayram</t>
  </si>
  <si>
    <t>Radiation Sounds : Marshallese Music and Nuclear Silences</t>
  </si>
  <si>
    <t>Schwartz, Jessica A.</t>
  </si>
  <si>
    <t>Distributed Optimization for Control and Estimation</t>
  </si>
  <si>
    <t>Parvini Ahmadi, Shervin</t>
  </si>
  <si>
    <t>Evolutionary Equations : Picard's Theorem for Partial Differential Equations, and Applications</t>
  </si>
  <si>
    <t>Seifert, Christian</t>
  </si>
  <si>
    <t>Feminist Methodologies : Experiments, Collaborations and Reflections</t>
  </si>
  <si>
    <t>Harcourt, Wendy</t>
  </si>
  <si>
    <t>Vidding : A History</t>
  </si>
  <si>
    <t>Coppa, Francesca</t>
  </si>
  <si>
    <t>Regenerative Territories : Dimensions of Circularity for Healthy Metabolisms</t>
  </si>
  <si>
    <t>Amenta, Libera</t>
  </si>
  <si>
    <t>Contracting and Safety : Exploring Outsourcing Practices in High-Hazard Industries</t>
  </si>
  <si>
    <t>Hayes, Jan</t>
  </si>
  <si>
    <t>The EBMT/EHA CAR-T Cell Handbook</t>
  </si>
  <si>
    <t>Kröger, Nicolaus</t>
  </si>
  <si>
    <t>Education to Build Back Better : What Can We Learn from Education Reform for a Post-Pandemic World</t>
  </si>
  <si>
    <t>Modern Socio-Technical Perspectives on Privacy</t>
  </si>
  <si>
    <t>Knijnenburg, Bart P.</t>
  </si>
  <si>
    <t>The Neo-Aramaic Oral Heritage of the Jews of Zakho</t>
  </si>
  <si>
    <t>Aloni, Oz</t>
  </si>
  <si>
    <t>Replanteando la Acción Social Por la Música : La Búsqueda de la Convivencia y la Ciudadanía en la Red de Escuelas de Música de Medellín</t>
  </si>
  <si>
    <t>Democratising Participatory Research : Pathways to Social Justice from the South</t>
  </si>
  <si>
    <t>Martinez-Vargas, Carmen</t>
  </si>
  <si>
    <t>Making Sense of Work Through Collaborative Storytelling : Building Narratives in Organisational Change</t>
  </si>
  <si>
    <t>Cleland Silva, Tricia</t>
  </si>
  <si>
    <t>Identifying Security Logics in the EU Policy Discourse : The Migration Crisis and the EU</t>
  </si>
  <si>
    <t>Stępka, Maciej</t>
  </si>
  <si>
    <t>Learning to Diagnose with Simulations : Examples from Teacher Education and Medical Education</t>
  </si>
  <si>
    <t>Fischer, Frank</t>
  </si>
  <si>
    <t>Education for Sustaining Peace Through Historical Memory</t>
  </si>
  <si>
    <t>Schultze-Kraft, Markus</t>
  </si>
  <si>
    <t>Pattern-Based Programming Abstractions for Heterogeneous Parallel Computing</t>
  </si>
  <si>
    <t>Ernstsson, August</t>
  </si>
  <si>
    <t>Visual Odometryin Principle and Practice</t>
  </si>
  <si>
    <t>Persson, Mikael</t>
  </si>
  <si>
    <t>Seeds for Diversity and Inclusion : Agroecology and Endogenous Development</t>
  </si>
  <si>
    <t>Nishikawa, Yoshiaki</t>
  </si>
  <si>
    <t>Becoming Donor-Conceived : The Transformation of Anonymity in Gamete Donation</t>
  </si>
  <si>
    <t>Baumann, Amelie</t>
  </si>
  <si>
    <t>Anthropological Perspectives on Environmental Communication</t>
  </si>
  <si>
    <t>Sjölander-Lindqvist, Annelie</t>
  </si>
  <si>
    <t>The Legibility of Serif and Sans Serif Typefaces : Reading from Paper and Reading from Screens</t>
  </si>
  <si>
    <t>Richardson, John T. E.</t>
  </si>
  <si>
    <t>Researching Values : Methodological Approaches for Understanding Values Work in Organisations and Leadership</t>
  </si>
  <si>
    <t>Espedal, Gry</t>
  </si>
  <si>
    <t>From West to North Frisia : A Journey along the North Sea Coast. Frisian Studies in Honour of Jarich Hoekstra</t>
  </si>
  <si>
    <t>Walker, Alastair</t>
  </si>
  <si>
    <t>Intelligent Systems for Sustainable Person-Centered Healthcare</t>
  </si>
  <si>
    <t>Kriksciuniene, Dalia</t>
  </si>
  <si>
    <t>Transition and Opportunity : Strategies from Business Leaders on Making the Most of China's Future</t>
  </si>
  <si>
    <t>Jia Zhangke on Jia Zhangke</t>
  </si>
  <si>
    <t>Berry, Michael</t>
  </si>
  <si>
    <t>Subjektunabhängige, Analytische Unternehmensethik : Begründung und Relevanz Als Praktisch-Normative Betriebswirtschaftslehre</t>
  </si>
  <si>
    <t>Fuchs, Florian</t>
  </si>
  <si>
    <t>A Co-Simulation Tool Applied to Hydraulic Percussion Units</t>
  </si>
  <si>
    <t>Andersson, Håkan</t>
  </si>
  <si>
    <t>Guidebook to Carbon Neutrality in China : Macro and Industry Trends under New Constraints</t>
  </si>
  <si>
    <t>CICC Research, CICC Global Institute</t>
  </si>
  <si>
    <t>Dumbing Down : The Crisis of Quality and Equity in a Once-Great School System--And How to Reverse the Trend</t>
  </si>
  <si>
    <t>Henrekson, Magnus</t>
  </si>
  <si>
    <t>The Greater Chaco Landscape : Ancestors, Scholarship, and Advocacy</t>
  </si>
  <si>
    <t>Van Dyke, Ruth M.</t>
  </si>
  <si>
    <t>Historicizing Fear : Ignorance, Vilification, and Othering</t>
  </si>
  <si>
    <t>Boyce, Travis D.</t>
  </si>
  <si>
    <t>Archaeological Perspectives on Warfare on the Great Plains</t>
  </si>
  <si>
    <t>Clark, Andrew</t>
  </si>
  <si>
    <t>Maya Gods of War</t>
  </si>
  <si>
    <t>Bassie-Sweet, Karen</t>
  </si>
  <si>
    <t>Metalearning : Applications to Automated Machine Learning and Data Mining</t>
  </si>
  <si>
    <t>Brazdil, Pavel</t>
  </si>
  <si>
    <t>Das Erweiterte Museum : Medien, Technologien und Internet</t>
  </si>
  <si>
    <t>Franken-Wendelstorf, Regina</t>
  </si>
  <si>
    <t>Equity Policies in Global Higher Education : Reducing Inequality and Increasing Participation and Attainment</t>
  </si>
  <si>
    <t>Tavares, Orlanda</t>
  </si>
  <si>
    <t>Al-Haq : A Global History of the First Palestinian Human Rights Organization</t>
  </si>
  <si>
    <t>University of California Press</t>
  </si>
  <si>
    <t>Welchman, Lynn</t>
  </si>
  <si>
    <t>Societies in Transition in Early Greece : An Archaeological History</t>
  </si>
  <si>
    <t>Knodell, Alex R.</t>
  </si>
  <si>
    <t>A Proximate Remove : Queering Intimacy and Loss in the Tale of Genji</t>
  </si>
  <si>
    <t>Jackson, Reginald</t>
  </si>
  <si>
    <t>The Endurance of Palestinian Political Factions : An Everyday Perspective from Nahr el-Bared Camp</t>
  </si>
  <si>
    <t>Issa, Perla</t>
  </si>
  <si>
    <t>Brought to Life by the Voice : Playback Singing and Cultural Politics in South India</t>
  </si>
  <si>
    <t>Weidman, Amanda</t>
  </si>
  <si>
    <t>The Funeral of Mr. Wang : Life, Death, and Ghosts in Urbanizing China</t>
  </si>
  <si>
    <t>Kipnis, Andrew B.</t>
  </si>
  <si>
    <t>Knowing about Genocide : Armenian Suffering and Epistemic Struggles</t>
  </si>
  <si>
    <t>Savelsberg, Joachim J.</t>
  </si>
  <si>
    <t>Public Policies and Food Systems in Latin America</t>
  </si>
  <si>
    <t>Le Coq, Jean-François</t>
  </si>
  <si>
    <t>(Post-)colonial Archipelagos : Comparing the Legacies of Spanish Colonialism in Cuba, Puerto Rico, and the Philippines</t>
  </si>
  <si>
    <t>Burchardt, Hans-Jürgen</t>
  </si>
  <si>
    <t>Secretory Autoantibodies in Rheumatoid Arthritis</t>
  </si>
  <si>
    <t>Roos Ljungberg, Karin</t>
  </si>
  <si>
    <t>The Pandemic of Argumentation</t>
  </si>
  <si>
    <t>Oswald, Steve</t>
  </si>
  <si>
    <t>Mathematical Modeling of the Human Brain : From Magnetic Resonance Images to Finite Element Simulation</t>
  </si>
  <si>
    <t>Mardal, Kent-André</t>
  </si>
  <si>
    <t>The Vortex and the Jet : A Journey into the Beauty and Mystery of Flight</t>
  </si>
  <si>
    <t>Decher, Reiner</t>
  </si>
  <si>
    <t>Feminist IR in Europe : Knowledge Production in Academic Institutions</t>
  </si>
  <si>
    <t>Stern, Maria</t>
  </si>
  <si>
    <t>The Future of Financial Systems in the Digital Age : Perspectives from Europe and Japan</t>
  </si>
  <si>
    <t>Heckel, Markus</t>
  </si>
  <si>
    <t>Learning, Marginalization, and Improving the Quality of Education in Low-Income Countries</t>
  </si>
  <si>
    <t>Wagner, Daniel A.</t>
  </si>
  <si>
    <t>The Form of Ideology and the Ideology of Form : Cold War, Decolonization and Third World Print Cultures</t>
  </si>
  <si>
    <t>William Sharp and Fiona Macleod : A Life</t>
  </si>
  <si>
    <t>Traces of War : Interpreting Ethics and Trauma in Twentieth-Century French Writing</t>
  </si>
  <si>
    <t>Davis, Colin</t>
  </si>
  <si>
    <t>Marie NDiaye : Blankness and Recognition</t>
  </si>
  <si>
    <t>Asibong, Andrew</t>
  </si>
  <si>
    <t>French Cycling : A Social and Cultural History</t>
  </si>
  <si>
    <t>Dauncey, Hugh</t>
  </si>
  <si>
    <t>Cultures of Anyone : Studies on Cultural Democratization in the Spanish Neoliberal Crisis</t>
  </si>
  <si>
    <t>Moreno-Caballud, Luis</t>
  </si>
  <si>
    <t>Spanish Spaces : Landscape, Space and Place in Contemporary Spanish Culture</t>
  </si>
  <si>
    <t>Davies, Ann</t>
  </si>
  <si>
    <t>The Most Dreadful Visitation : Male Madness in Victorian Fiction</t>
  </si>
  <si>
    <t>Pedlar, Valerie</t>
  </si>
  <si>
    <t>Haiti Unbound : A Spiralist Challenge to the Postcolonial Canon</t>
  </si>
  <si>
    <t>Glover, Kaiama L.</t>
  </si>
  <si>
    <t>Borrowed Forms : The Music and Ethics of Transnational Fiction</t>
  </si>
  <si>
    <t>Lachman, Kathryn</t>
  </si>
  <si>
    <t>Race on Display in 20th- and 21st Century France</t>
  </si>
  <si>
    <t>Knox, Katelyn E.</t>
  </si>
  <si>
    <t>Creolizing Europe : Legacies and Transformations</t>
  </si>
  <si>
    <t>Gutiérrez Rodríguez, Encarnación</t>
  </si>
  <si>
    <t>Imperial Emotions : Cultural Responses to Myths of Empire in Fin-De-Siècle Spain</t>
  </si>
  <si>
    <t>Krauel, Javier</t>
  </si>
  <si>
    <t>Contemporary Irish Women Poets : Memory and Estrangement</t>
  </si>
  <si>
    <t>Collins, Lucy</t>
  </si>
  <si>
    <t>What Is Québécois Literature? : Reflections on the Literary History of Francophone Writing in Canada</t>
  </si>
  <si>
    <t>Chapman, Rosemary</t>
  </si>
  <si>
    <t>Contagion and Enclaves : Tropical Medicine in Colonial India</t>
  </si>
  <si>
    <t>Bhattacharya, Nandini</t>
  </si>
  <si>
    <t>Involuntary Associations : Postcolonial Studies and World Englishes</t>
  </si>
  <si>
    <t>Huddart, David</t>
  </si>
  <si>
    <t>Postgrowth Imaginaries : New Ecologies and Counterhegemonic Culture in Post-2008 Spain</t>
  </si>
  <si>
    <t>Prádanos, Luis I.</t>
  </si>
  <si>
    <t>American Creoles : The Francophone Caribbean and the American South</t>
  </si>
  <si>
    <t>Munro, Martin</t>
  </si>
  <si>
    <t>Disability Studies and Spanish Culture : Films, Novels, the Comic and the Public Exhibition</t>
  </si>
  <si>
    <t>Fraser, Benjamin</t>
  </si>
  <si>
    <t>Michel Houellebecq : Humanity and Its Aftermath</t>
  </si>
  <si>
    <t>Morrey, Douglas</t>
  </si>
  <si>
    <t>Jamaica Making : The Theresa Roberts Art Collection</t>
  </si>
  <si>
    <t>Roberts, Emma</t>
  </si>
  <si>
    <t>Knights Across the Atlantic : The Knights of Labor in Britain and Ireland</t>
  </si>
  <si>
    <t>Parfitt, Steven</t>
  </si>
  <si>
    <t>Roland Barthes at the Collège de France</t>
  </si>
  <si>
    <t>O'Meara, Lucy</t>
  </si>
  <si>
    <t>Middlebrow Matters : Women's Reading and the Literary Canon in France since the Belle Époque</t>
  </si>
  <si>
    <t>Holmes, Diana</t>
  </si>
  <si>
    <t>Worker Voice : Employee Representation in the Workplace in Australia, Canada, Germany, the UK and the US 1914-1939</t>
  </si>
  <si>
    <t>Patmore, Greg</t>
  </si>
  <si>
    <t>Beastly Journeys : Travel and Transformation at the Fin de Siècle</t>
  </si>
  <si>
    <t>Youngs, Tim</t>
  </si>
  <si>
    <t>The Mauritian Novel : Fictions of Belonging</t>
  </si>
  <si>
    <t>Waters, Julia</t>
  </si>
  <si>
    <t>Vital Subjects : Race and Biopolitics in Italy 1860-1920</t>
  </si>
  <si>
    <t>Welch, Rhiannon Noel</t>
  </si>
  <si>
    <t>Articulating Bodies : The Narrative Form of Disability and Illness in Victorian Fiction</t>
  </si>
  <si>
    <t>Hingston, Kylee-Anne</t>
  </si>
  <si>
    <t>The Historical Jesus and the Literary Imagination 1860-1920</t>
  </si>
  <si>
    <t>Stevens, Jennifer</t>
  </si>
  <si>
    <t>Rhetorics of Belonging : Nation, Narration, and Israel/Palestine</t>
  </si>
  <si>
    <t>Literary Reimaginings of Argentina's Independence : History, Fiction, Politics</t>
  </si>
  <si>
    <t>McAllister, Catriona</t>
  </si>
  <si>
    <t>Byron and the Forms of Thought</t>
  </si>
  <si>
    <t>Howe, Anthony</t>
  </si>
  <si>
    <t>The Sanitation Triangle : Socio-Culture, Health and Materials</t>
  </si>
  <si>
    <t>Yamauchi, Taro</t>
  </si>
  <si>
    <t>International Impacts on Social Policy : Short Histories in Global Perspective</t>
  </si>
  <si>
    <t>Nullmeier, Frank</t>
  </si>
  <si>
    <t>Ernst Denert Award for Software Engineering 2020 : Practice Meets Foundations</t>
  </si>
  <si>
    <t>Digitale Medien und Nachhaltigkeit : Medienpraktiken Für ein Gutes Leben</t>
  </si>
  <si>
    <t>Kannengießer, Sigrid</t>
  </si>
  <si>
    <t>SDGs, Transformation, and Quality Growth : Insights from International Cooperation</t>
  </si>
  <si>
    <t>Hosono, Akio</t>
  </si>
  <si>
    <t>Präventionsarbeit der Polizei Als Pädagogische Herausforderung : Empirische Rekonstruktionen Im Umgang Mit Kindern und Jugendlichen</t>
  </si>
  <si>
    <t>Kepura, Jürgen</t>
  </si>
  <si>
    <t>Intercultural Approaches to Education : From Theory to Practice</t>
  </si>
  <si>
    <t>Die Bedeutung Von Flüchtling, Geflüchtete_r und Migrant_in : Eine Frame-Semantische Untersuchung Zum Diskurs Zur Sog. Flüchtlingskrise</t>
  </si>
  <si>
    <t>Neumair, Phillip Alexander</t>
  </si>
  <si>
    <t>Transformation Literacy : Pathways to Regenerative Civilizations</t>
  </si>
  <si>
    <t>Künkel, Petra</t>
  </si>
  <si>
    <t>Wicked Problems in Public Policy : Understanding and Responding to Complex Challenges</t>
  </si>
  <si>
    <t>Head, Brian W.</t>
  </si>
  <si>
    <t>Academic Integrity in Canada : An Enduring and Essential Challenge</t>
  </si>
  <si>
    <t>Eaton, Sarah Elaine</t>
  </si>
  <si>
    <t>Vzdělávání žáků s Aspergerovým syndromem v inkluzivní třídě : Metodická příručka</t>
  </si>
  <si>
    <t>Masaryk University</t>
  </si>
  <si>
    <t>Bazalová, Barbora</t>
  </si>
  <si>
    <t>65. studentská vědecká konference : Program a sborník abstraktů</t>
  </si>
  <si>
    <t>Jurajda, Michal</t>
  </si>
  <si>
    <t>Metodika práce s třídním kolektivem v inkluzivní třídě se zaměřením na žáky se sluchovým postižením : Metodická příručka</t>
  </si>
  <si>
    <t>Bytešníková, Ilona</t>
  </si>
  <si>
    <t>Praxe studijního programu Učitelství pro mateřské školy: metodická příručka pro studenty</t>
  </si>
  <si>
    <t>Syslová, Zora</t>
  </si>
  <si>
    <t>Metodika dlouhodobého ukládání a archivace digitálních dokumentů</t>
  </si>
  <si>
    <t>Pichl, Marek</t>
  </si>
  <si>
    <t>Terminologia graeco-latina medica pro studijní obory fyzioterapie a všeobecná sestra</t>
  </si>
  <si>
    <t>Terminologia graeco-latina medica pro bakalářské obory Lékařské fakulty MU : Gramatická příručka</t>
  </si>
  <si>
    <t>Terminologia graeco-latina medica pro studijní obor porodní asistentka</t>
  </si>
  <si>
    <t>Já z hvězd svou moudrost nevyčet… : Studentský sborník intermediálních analýz</t>
  </si>
  <si>
    <t>Jedličková, Alice</t>
  </si>
  <si>
    <t>Terminologies, Lexical Hierarchies and other Configurations</t>
  </si>
  <si>
    <t>Transdisciplinární didaktika: o učitelském sdílení znalostí a zvyšování kvality výuky napříč obory</t>
  </si>
  <si>
    <t>Smooth and F-smooth systems with applications to Covariant Quantum Mechanics</t>
  </si>
  <si>
    <t>Janyška, Josef</t>
  </si>
  <si>
    <t>Foglar v nás: Záhada hlav a lomu</t>
  </si>
  <si>
    <t>Jirásek, Ivo</t>
  </si>
  <si>
    <t>Slovanský literární svět: kontexty a konfrontace III : Motiv domova ve slovanských literaturách</t>
  </si>
  <si>
    <t>Paučová, Lenka</t>
  </si>
  <si>
    <t>Proceedings of the 11th International Conference on Kinanthropology : 29. 11. – 1. 12. 2017</t>
  </si>
  <si>
    <t>Zvonař, Martin</t>
  </si>
  <si>
    <t>Momentum. Umění a kosmopolitní modernita</t>
  </si>
  <si>
    <t>Horáková, Jana</t>
  </si>
  <si>
    <t>Slovanský literární svět: kontexty a konfrontace IV</t>
  </si>
  <si>
    <t>Nedělní pedagogické krasořeči : O obratech a vyvažování ve výchově a vzdělávání</t>
  </si>
  <si>
    <t>Příležitosti k rozvíjení autonomie žáka v hodinách anglického jazyka</t>
  </si>
  <si>
    <t>Chválová, Marie</t>
  </si>
  <si>
    <t>Somatopedické simulační techniky a intervence : Metodické texty k projektu MUNI 4.0. Pedagogická fakulta, studijní program Logopedie (Bc.)</t>
  </si>
  <si>
    <t>Opatřilová, Dagmar</t>
  </si>
  <si>
    <t>Speciálněpedagogická diagnostika somatopedická : Metodické texty k projektu MUNI 4.0. Pedagogická fakulta, studijní program Logopedie (Bc.)</t>
  </si>
  <si>
    <t>Personální marketing v řízení lidských zdrojů</t>
  </si>
  <si>
    <t>Myslivcová, Světlana</t>
  </si>
  <si>
    <t>Rozhodni se! aneb životním stylem ke zdraví : Metodický materiál k výuce prevence onkologických a dalších chronických neinfekčních chorob pro 2. stupeň ZŠ</t>
  </si>
  <si>
    <t>Smejkalová, Zdeňka</t>
  </si>
  <si>
    <t>Proč školství a jeho aktéři selhávají : Kognitivní krajiny a nacionalismus</t>
  </si>
  <si>
    <t>Šíp, Radim</t>
  </si>
  <si>
    <t>Tradiční rodina v Číně</t>
  </si>
  <si>
    <t>Dosedlová, Aneta</t>
  </si>
  <si>
    <t>XI. studentská vědecká konference Katedry českého jazyka a literatury : 14. března 2019</t>
  </si>
  <si>
    <t>Nováková, Ester</t>
  </si>
  <si>
    <t>Variabilita sinic v elektronovém mikroskopu</t>
  </si>
  <si>
    <t>Šmarda, Jan</t>
  </si>
  <si>
    <t>13. mezinárodní vědecká konference Didaktická konference 2019 : Sborník příspěvků</t>
  </si>
  <si>
    <t>Válek, Jan</t>
  </si>
  <si>
    <t>Focus on: INSIDE / OUTSIDE</t>
  </si>
  <si>
    <t>Stehlíková, Hana</t>
  </si>
  <si>
    <t>(Geo)Demografie nejen pro ekonomy</t>
  </si>
  <si>
    <t>Kunc, Josef</t>
  </si>
  <si>
    <t>EdTech KISK: Studijní profilace Technologie ve vzdělávání</t>
  </si>
  <si>
    <t>Černý, Michal</t>
  </si>
  <si>
    <t>Profesionální pomáhání : Rozhovory napříč pomáhajícími profesemi</t>
  </si>
  <si>
    <t>Švec, Vlastimil</t>
  </si>
  <si>
    <t>Life in Health 2019: Research and Practice : Proceedings of the International Conference held on 5–6 September 2019</t>
  </si>
  <si>
    <t>Holinková, Markéta</t>
  </si>
  <si>
    <t>Muzejní profese a veřejnost 2 : Reflexe edukačního fenoménu v současné muzejní praxi</t>
  </si>
  <si>
    <t>Jagošová, Lucie</t>
  </si>
  <si>
    <t>Psychologie práce a organizace 2019</t>
  </si>
  <si>
    <t>Procházka, Jakub</t>
  </si>
  <si>
    <t>Exploring and explaining participation in local opposition: brown coal mining in Horní Jiřetín</t>
  </si>
  <si>
    <t>Černoch, Filip</t>
  </si>
  <si>
    <t>Outdoor Education in Geography: A Specific Educational Strategy</t>
  </si>
  <si>
    <t>Podpora vedení studentů na praxi v mateřské škole</t>
  </si>
  <si>
    <t>Lidová píseň v hudební výchově na základních a středních školách v České republice</t>
  </si>
  <si>
    <t>Kučerová, Judita</t>
  </si>
  <si>
    <t>Česká problémová dramatika šedesátých let 20. století</t>
  </si>
  <si>
    <t>Cytologický a embryologický atlas</t>
  </si>
  <si>
    <t>Vaňhara, Petr</t>
  </si>
  <si>
    <t>Výzkum v didaktice cizích jazyků II</t>
  </si>
  <si>
    <t>Janíková, Věra</t>
  </si>
  <si>
    <t>Repetitorium onemocnění sliznice ústní dutiny</t>
  </si>
  <si>
    <t>Izakovičová, Lydie</t>
  </si>
  <si>
    <t>Prostor a jeho obývání : Zobrazení prostoru v díle Marie Noëlové, Suzanne Renaudové, Christiane Singerové a Sylvie Germainové</t>
  </si>
  <si>
    <t>The preschool teacher as a reflective practitioner</t>
  </si>
  <si>
    <t>University textbook on oral mucosal diseases</t>
  </si>
  <si>
    <t>Směřování ke kvalitě 2016–2020 v pedagogicko-psychologické přípravě budoucích učitelů na PdF MU</t>
  </si>
  <si>
    <t>Kratochvílová, Jana</t>
  </si>
  <si>
    <t>Kleines derivationelles Valenzlexikon zu einigen zentralen Valenzträgern im Deutschen und Tschechischen : Versuch einer kategorienübergreifenden Erfassung der Valenzrealisierung</t>
  </si>
  <si>
    <t>Muzikant, Mojmír</t>
  </si>
  <si>
    <t>Nerovný vývoj světa a rozvojová teorie</t>
  </si>
  <si>
    <t>Navrátilová, Alice</t>
  </si>
  <si>
    <t>Proces fúzí obchodních společností v právních, účetních a daňových souvislostech</t>
  </si>
  <si>
    <t>Sedláček, Jaroslav</t>
  </si>
  <si>
    <t>Standard kvality profesních kompetencí studenta učitelství</t>
  </si>
  <si>
    <t>Speciálněpedagogická diagnostika oftalmopedická : Metodické texty k projektu MUNI 4.0. Pedagogická fakulta, studijní program Logopedie (Bc.)</t>
  </si>
  <si>
    <t>Röderová, Petra</t>
  </si>
  <si>
    <t>Leading Learning Networks in Education : Theoretical Framework and School Leaders’ Perspectives across Europe</t>
  </si>
  <si>
    <t>Simulační techniky oftalmopedické : Metodické texty k projektu MUNI 4.0. Pedagogická fakulta, studijní program Logopedie (Bc.)</t>
  </si>
  <si>
    <t>Vrubel, Martin</t>
  </si>
  <si>
    <t>Venkovský cestovní ruch : Aktuální témata cestovního ruchu</t>
  </si>
  <si>
    <t>Šíp, Jiří</t>
  </si>
  <si>
    <t>Možnosti zvyšování efektivnosti veřejného sektoru v podmínkách krize veřejných financí II</t>
  </si>
  <si>
    <t>Malý, Ivan</t>
  </si>
  <si>
    <t>Speciálněpedagogická diagnostika surdopedická : Metodické texty k projektu MUNI 4.0. Pedagogická fakulta, studijní program Logopedie (Bc.)</t>
  </si>
  <si>
    <t>Komunikační a simulační techniky logopedické : Metodické texty k projektu MUNI 4.0. Pedagogická fakulta, studijní program Logopedie (Bc.)</t>
  </si>
  <si>
    <t>Kopečný, Petr</t>
  </si>
  <si>
    <t>Sto tváří, sto příběhů : Vybrané osobnosti v dějinách Filozofické fakulty Masarykovy univerzity</t>
  </si>
  <si>
    <t>Fasora, Lukáš</t>
  </si>
  <si>
    <t>Tomáškovy dny 2020 : XXIX. konference mladých mikrobiologů</t>
  </si>
  <si>
    <t>Vacek, Lukáš</t>
  </si>
  <si>
    <t>Komunikace osob s duálním smyslovým postižením : Metodické texty k projektu MUNI 4.0. Pedagogická fakulta, studijní program Logopedie (Bc.)</t>
  </si>
  <si>
    <t>Horáková, Radka</t>
  </si>
  <si>
    <t>Diverzifikace předškolního vzdělávání v ČR</t>
  </si>
  <si>
    <t>Proceedings of the 12th International Conference on Kinanthropology : Sport and Quality of Life. 7. – 9. 11. 2019</t>
  </si>
  <si>
    <t>Cacek, Jan</t>
  </si>
  <si>
    <t>Otázky neolitu a eneolitu. 39. ročník. Brno, 9.–11. 9. 2020 : Sborník abstraktů</t>
  </si>
  <si>
    <t>Malíšková, Johana</t>
  </si>
  <si>
    <t>Moravský kras a okolí / Moravian Karst and its Environs : Atlas pro terénní výuku a outdoorové aktivity / Atlas for field work and outdoor activities</t>
  </si>
  <si>
    <t>Balák, Ivan</t>
  </si>
  <si>
    <t>Proměny Brněnského varhanního festivalu</t>
  </si>
  <si>
    <t>We’re Not Afraid of Cancer or Prevention as a Doorway to Health : Oncological Prevention Methology for Lower Secondary Schools</t>
  </si>
  <si>
    <t>Speciálněpedagogická diagnostika logopedická : Metodické texty k projektu MUNI 4.0. Pedagogická fakulta, studijní program Logopedie (Bc.)</t>
  </si>
  <si>
    <t>Chleboradová, Barbora</t>
  </si>
  <si>
    <t>Výkonnost podniku v kontextu spokojenosti zákazníka, zpětných toků, kvality, inovací a znalostí</t>
  </si>
  <si>
    <t>Klapalová, Alena</t>
  </si>
  <si>
    <t>Řízení třídy: studenti učitelství a jejich provázející učitelé</t>
  </si>
  <si>
    <t>Guide to General Histology and Microscopic Anatomy</t>
  </si>
  <si>
    <t>Alternativní a augmentativní komunikace : Metodické texty k projektu MUNI 4.0. Pedagogická fakulta, studijní program Logopedie (Bc.)</t>
  </si>
  <si>
    <t>Speciálněpedagogická diagnostika a intervence u žáků se specifickými poruchami učení : Metodické texty k projektu MUNI 4.0. Pedagogická fakulta, studijní program Logopedie (Bc.)</t>
  </si>
  <si>
    <t>Bartoňová, Miroslava</t>
  </si>
  <si>
    <t>Komunikační a simulační techniky surdopedické : Metodické texty k projektu MUNI 4.0. Pedagogická fakulta, studijní program Logopedie (Bc.)</t>
  </si>
  <si>
    <t>100 let R. U. R. : Sborník z konference na Pedagogické fakultě Masarykovy univerzity v Brně, 11. září 2019</t>
  </si>
  <si>
    <t>Jemelka, Petr</t>
  </si>
  <si>
    <t>XII. studentská vědecká konference Katedry českého jazyka a literatury : 8. října 2020</t>
  </si>
  <si>
    <t>Kariérová adaptabilita : Její podoby, proměny, souvislosti a role v životě mladých dospělých procházejících středním odborným vzděláváním</t>
  </si>
  <si>
    <t>Hlaďo, Petr</t>
  </si>
  <si>
    <t>(Teaching) Regional Geography : Proceedings of 27th Central European Conference. 17th October 2019, Brno</t>
  </si>
  <si>
    <t>Mladá slavistika V : Slavistická badatelská dílna</t>
  </si>
  <si>
    <t>Michálek, Zbyněk</t>
  </si>
  <si>
    <t>Cesty horním Kurveleshem v čase a prostoru</t>
  </si>
  <si>
    <t>Klontza-Jaklová, Věra</t>
  </si>
  <si>
    <t>Nástroje pro přechod na oběhové hospodářství : Informační, motivační a dobrovolné nástroje pro obce a občany</t>
  </si>
  <si>
    <t>Tóthová, Dominika</t>
  </si>
  <si>
    <t>Kontrahovanie služieb vo verejnom sektore – skúsenosti v Slovenskej a Českej republike</t>
  </si>
  <si>
    <t>Mikušová, Beáta</t>
  </si>
  <si>
    <t>Freedom in the Mirror of University History : Commemorating the 100th anniversary of the founding of Masaryk University and dedicated to all the authors in its history who were silenced</t>
  </si>
  <si>
    <t>Uměním tě proměním : Výtvarné činnosti a jejich přínos preprimárnímu vzdělávání</t>
  </si>
  <si>
    <t>Mýty – omyly – nepravdy : O „chibách“ ve vzdělávání a pedagogice</t>
  </si>
  <si>
    <t>Real World Learning in Outdoor Environmental Education Programs : The Practice from the Perspective of Educational Research</t>
  </si>
  <si>
    <t>Typo Poster : Traditional Medium of Communication in Epoch of Advanced Digital Technologies</t>
  </si>
  <si>
    <t>Noga, Pavel</t>
  </si>
  <si>
    <t>Idea univerzity z české perspektivy : Rozhovory s Jiřím Hanušem</t>
  </si>
  <si>
    <t>Functional Plurality of Language in Contextualised Discourse : Eighth Brno Conference on Linguistics Studies in English. Conference Proceedings. Brno, 12–13 September 2019</t>
  </si>
  <si>
    <t>Headlandová, Irena</t>
  </si>
  <si>
    <t>Úvod do ekologické problematiky</t>
  </si>
  <si>
    <t>Current issues of the Russian language teaching XIV</t>
  </si>
  <si>
    <t>Koryčánková, Simona</t>
  </si>
  <si>
    <t>Pohybová aktivita jako účinný prostředek nefarmakologické péče v onkologii</t>
  </si>
  <si>
    <t>Kapounková, Kateřina</t>
  </si>
  <si>
    <t>64. studentská vědecká konference : Program a sborník abstraktů</t>
  </si>
  <si>
    <t>Análisis de errores en la interlengua de aprendices de ELE universitarios checos y eslovacos</t>
  </si>
  <si>
    <t>Rodríguez, Cristina</t>
  </si>
  <si>
    <t>The Attitudes of Elementary School Teachers to Eating Disorders</t>
  </si>
  <si>
    <t>Subjektivní teorie a jednání učitelů: vícečetná případová studie v kontextu profesního rozvoje učitelů</t>
  </si>
  <si>
    <t>Koubek, Petr</t>
  </si>
  <si>
    <t>Konstrukční úlohy : Učební text pro studenty učitelství matematiky 2. stupně základní školy</t>
  </si>
  <si>
    <t>Výzkum v didaktice cizích jazyků III</t>
  </si>
  <si>
    <t>Efektivní vyučování v heterogenní třídě se zřetelem na metody a učební strategie</t>
  </si>
  <si>
    <t>Inkluzivní didaktika v praxi základní školy : Teorie, výzkum a praxe</t>
  </si>
  <si>
    <t>Edukace žáků se speciálními vzdělávacími potřebami v českém jazyce a literatuře – zaměření na žáky s SPU a zdravotním znevýhodněním : Metodická příručka</t>
  </si>
  <si>
    <t>Klímová, Květoslava</t>
  </si>
  <si>
    <t>Logbook pro doktorský studijní program Speciální pedagogika</t>
  </si>
  <si>
    <t>Logbook for Special Edication doctoral program</t>
  </si>
  <si>
    <t>Metodika práce s třídním kolektivem v inkluzivní třídě se zaměřením na žáky s narušenou komunikační schopností : Metodická příručka</t>
  </si>
  <si>
    <t>Metodika práce s třídním kolektivem v inkluzivní třídě se zaměřením na žáky se zrakovým postižením : Metodická příručka</t>
  </si>
  <si>
    <t>Metodika práce s třídním kolektivem v inkluzivní třídě se zaměřením na žáky s epilepsií : Metodická příručka</t>
  </si>
  <si>
    <t>Fialová, Ilona</t>
  </si>
  <si>
    <t>Dobrodružství historické interpretace</t>
  </si>
  <si>
    <t>Student Scientific Conference MUNI Pharm 2021 : The Book of Abstracts</t>
  </si>
  <si>
    <t>Bobáľ, Pavel</t>
  </si>
  <si>
    <t>Tomáškovy dny 2021 : XXX. konference mladých mikrobiologů</t>
  </si>
  <si>
    <t>XXIV. mezinárodní kolokvium o regionálních vědách : Sborník příspěvků</t>
  </si>
  <si>
    <t>Klímová, Viktorie</t>
  </si>
  <si>
    <t>Building University Schools in Teacher Education Programmes : Guidelines and Suggestions</t>
  </si>
  <si>
    <t>Výslovnost ve výuce německého jazyka na ZŠ</t>
  </si>
  <si>
    <t>Čeřovská, Martina</t>
  </si>
  <si>
    <t>Jak měřit metakognici (nejen) u nadaných dětí</t>
  </si>
  <si>
    <t>Straka, Ondřej</t>
  </si>
  <si>
    <t>Geografie bariér : Příklady dobrých bezbariérových realizací</t>
  </si>
  <si>
    <t>Osman, Robert</t>
  </si>
  <si>
    <t>Predikce potenciálních míst k výstavbě retenčních nádrží v krajině na základě využití reliktů zaniklých vodohospodářských staveb : Certifikovaná metodika</t>
  </si>
  <si>
    <t>Mazáčková, Jana</t>
  </si>
  <si>
    <t>Studují spolu : Vzájemné učení mezi vysokoškolskými studenty kombinovaných studií a možnosti jeho podpory</t>
  </si>
  <si>
    <t>Zdroje a šíření vybraných komodit keramické produkce vrcholného a pozdního středověku</t>
  </si>
  <si>
    <t>Loskotová, Irena</t>
  </si>
  <si>
    <t>XIII. studentská vědecká konference Katedry českého jazyka a literatury : 18. března 2021</t>
  </si>
  <si>
    <t>Vzdělávání žáků se specifickými poruchami učení – matematika : Metodická příručka</t>
  </si>
  <si>
    <t>Blažková, Růžena</t>
  </si>
  <si>
    <t>Metody kauzální analýzy pro měření efektivity podpory prodeje</t>
  </si>
  <si>
    <t>Králová, Maria</t>
  </si>
  <si>
    <t>Postupy a nástroje pedagogické evaluace pro (budoucí) učitele</t>
  </si>
  <si>
    <t>Netradiční studenti pedagogických oborů na českých vysokých školách</t>
  </si>
  <si>
    <t>Novotný, Petr</t>
  </si>
  <si>
    <t>Inquiry in University Mathematics Teaching and Learning : The Platinum Project</t>
  </si>
  <si>
    <t>Jaworski, Barbara</t>
  </si>
  <si>
    <t>The Faithful and the Reasonable : Chapters on ecological Foolishness</t>
  </si>
  <si>
    <t>Librová, Hana</t>
  </si>
  <si>
    <t>Vyjmenovaná slova s Radkou a Kájou a pejskem Ottou</t>
  </si>
  <si>
    <t>Nováková, Andrea</t>
  </si>
  <si>
    <t>The Figurativeness of the Language of Mystical Experience : Particularities and Interpretations</t>
  </si>
  <si>
    <t>Vázquez, Antonio</t>
  </si>
  <si>
    <t>14. mezinárodní vědecká konference Didaktická konference 2021 : Sborník příspěvků</t>
  </si>
  <si>
    <t>China and the World in a Changing Context : Perspectives from Ambassadors to China</t>
  </si>
  <si>
    <t>Plans de Gestion de la Sécurité Sanitaire de l'eau Résilients Au Climat: Gestion des Risques de Santé Liés à la Variabilité et Aux Changements Climatiques</t>
  </si>
  <si>
    <t>World Health Organisation (WHO)</t>
  </si>
  <si>
    <t>Water-Wise Cities and Sustainable Water Systems : Concepts, Technologies, and Applications</t>
  </si>
  <si>
    <t>Wang, Xiaochang C.</t>
  </si>
  <si>
    <t>Intangible Capital and Growth : Essays on Labor Productivity, Monetary Economics, and Political Economy, Vol. 1</t>
  </si>
  <si>
    <t>Roth, Felix</t>
  </si>
  <si>
    <t>Gender and Migration : IMISCOE Short Reader</t>
  </si>
  <si>
    <t>Christou, Anastasia</t>
  </si>
  <si>
    <t>Zéro Pesticide : Un Nouveau Paradigme de Recherche Pour une Agriculture Durable</t>
  </si>
  <si>
    <t>Jacquet, Florence</t>
  </si>
  <si>
    <t>Public Support for the Euro : Essays on Labor Productivity, Monetary Economics, and Political Economy, Vol. 2</t>
  </si>
  <si>
    <t>Wissenschaft Kommuniziert : Eine Wissenssoziologische Gattungsanalyse des Akademischen Group-Talks Am Beispiel der Computational Neuroscience</t>
  </si>
  <si>
    <t>Wilke, René</t>
  </si>
  <si>
    <t>A Pathway to Excellence : The First 100 Years of Pathology and Laboratory Medicine at the University of Rochester School of Medicine and Dentistry, 1921-2020</t>
  </si>
  <si>
    <t>University of Rochester Press</t>
  </si>
  <si>
    <t>Smoller, Bruce R.</t>
  </si>
  <si>
    <t>A Jewel in the Crown II : Essays in Honor of the 90th Anniversary of the Institute of Optics University of Rochester</t>
  </si>
  <si>
    <t>Stroud, Carlos R.</t>
  </si>
  <si>
    <t>Modes of Esports Engagement in Overwatch</t>
  </si>
  <si>
    <t>Ruotsalainen, Maria</t>
  </si>
  <si>
    <t>Women, Migration and Gendered Experiences : The Case of Post-1991 Albanian Migration</t>
  </si>
  <si>
    <t>Danaj, Ermira</t>
  </si>
  <si>
    <t>Revisualising Intersectionality</t>
  </si>
  <si>
    <t>Die österreichische Gesellschaft Während der Corona-Pandemie : Ergebnisse Aus Sozialwissenschaftlichen Umfragen</t>
  </si>
  <si>
    <t>Aschauer, Wolfgang</t>
  </si>
  <si>
    <t>Opportunity Cost in Healthcare Priority Setting</t>
  </si>
  <si>
    <t>Siverskog, Jonathan</t>
  </si>
  <si>
    <t>Higher Education in Romania: Overcoming Challenges and Embracing Opportunities</t>
  </si>
  <si>
    <t>Decarbonizing Freight Transport : Acceptance and Policy Implications</t>
  </si>
  <si>
    <t>Pfoser, Sarah</t>
  </si>
  <si>
    <t>Indian Agriculture Towards 2030 : Pathways for Enhancing Farmers' Income, Nutritional Security and Sustainable Food and Farm Systems</t>
  </si>
  <si>
    <t>Chand, Ramesh</t>
  </si>
  <si>
    <t>The Governance of Insurance Undertakings : Corporate Law and Insurance Regulation</t>
  </si>
  <si>
    <t>Queer Korea</t>
  </si>
  <si>
    <t>Henry, Todd A.</t>
  </si>
  <si>
    <t>Histories of Experience in the World of Lived Religion</t>
  </si>
  <si>
    <t>Katajala-Peltomaa, Sari</t>
  </si>
  <si>
    <t>Monetary Authorities : Capitalism and Decolonization in the American Colonial Philippines</t>
  </si>
  <si>
    <t>Lumba, Allan E. S.</t>
  </si>
  <si>
    <t>Cancer in the Arab World</t>
  </si>
  <si>
    <t>Al-Shamsi, Humaid O.</t>
  </si>
  <si>
    <t>Revisiting Migrant Networks : Migrants and Their Descendants in Labour Markets</t>
  </si>
  <si>
    <t>Keskiner, Elif</t>
  </si>
  <si>
    <t>Das Formular</t>
  </si>
  <si>
    <t>Plener, Peter</t>
  </si>
  <si>
    <t>R&amp;d Management Practices and Innovation: Evidence from a Firm Survey</t>
  </si>
  <si>
    <t>Haneda, Shoko</t>
  </si>
  <si>
    <t>The Effects of Deleterious Mutations on Ageing</t>
  </si>
  <si>
    <t>Iinatti Brengdahl, Martin</t>
  </si>
  <si>
    <t>A Short History of Transport in Japan from Ancient Times to the Present</t>
  </si>
  <si>
    <t>Black, John Andrew</t>
  </si>
  <si>
    <t>Koordination und Kompromiss in Föderalen Bildungssystemen : Umkämpfte Institutionalisierung Eines Neuen Zugangswegs in Die Lehrpersonenbildung</t>
  </si>
  <si>
    <t>Hafner, Sandra</t>
  </si>
  <si>
    <t>Process Mining Workshops : ICPM 2021 International Workshops, Eindhoven, the Netherlands, October 31 - November 4, 2021, Revised Selected Papers</t>
  </si>
  <si>
    <t>Munoz-Gama, Jorge</t>
  </si>
  <si>
    <t>Value Sets for EQ-5D-5L : A Compendium, Comparative Review and User Guide</t>
  </si>
  <si>
    <t>Devlin, Nancy</t>
  </si>
  <si>
    <t>Energy Transition and Energy Democracy in East Asia</t>
  </si>
  <si>
    <t>Asuka, Jusen</t>
  </si>
  <si>
    <t>Adaptive Mediation and Conflict Resolution : Peace-Making in Colombia, Mozambique, the Philippines, and Syria</t>
  </si>
  <si>
    <t>de Coning, Cedric</t>
  </si>
  <si>
    <t>Thanks for Watching : An Anthropological Study of Video Sharing on YouTube</t>
  </si>
  <si>
    <t>Lange, Patricia G.</t>
  </si>
  <si>
    <t>Emerging Trends in and Strategies for Industry 4. 0 During and Beyond Covid-19</t>
  </si>
  <si>
    <t>Akkaya, Bülent</t>
  </si>
  <si>
    <t>Soziale Netzwerke und Politische Partizipation : Eine Empirische Untersuchung Mit Sozialräumlicher Perspektive</t>
  </si>
  <si>
    <t>Lütters, Stefanie</t>
  </si>
  <si>
    <t>Synthesis of Safety-Critical Real-Time Systems</t>
  </si>
  <si>
    <t>Zhou, Yuanbin</t>
  </si>
  <si>
    <t>Development and Application of Computational Models for Peptide-Protein Complexes</t>
  </si>
  <si>
    <t>Johansson-Åkhe, Isak</t>
  </si>
  <si>
    <t>Der Zusammenhang Zwischen Meritokratie und Beruflicher Bildung : Idealtypische Rekonstruktion Als Deutungsrahmen Für das Wertschätzungsproblem der Berufsbildung in der Ukraine</t>
  </si>
  <si>
    <t>Braun, Vera</t>
  </si>
  <si>
    <t>Archive of Jewish History : Volume 12</t>
  </si>
  <si>
    <t>Budnitskii, Oleg</t>
  </si>
  <si>
    <t>Museum Digitisations and Emerging Curatorial Agencies Online : Vikings in the Digital Age</t>
  </si>
  <si>
    <t>Axelsson, Bodil</t>
  </si>
  <si>
    <t>The White Indians of Mexican Cinema : Racial Masquerade Throughout the Golden Age</t>
  </si>
  <si>
    <t>García Blizzard, Mónica</t>
  </si>
  <si>
    <t>Fundamental Approaches to Software Engineering : 25th International Conference, FASE 2022, Held As Part of the European Joint Conferences on Theory and Practice of Software, ETAPS 2022, Munich, Germany, April 2-7, 2022, Proceedings</t>
  </si>
  <si>
    <t>Johnsen, Einar Broch</t>
  </si>
  <si>
    <t>Programming Languages and Systems : 31st European Symposium on Programming, ESOP 2022, Held As Part of the European Joint Conferences on Theory and Practice of Software, ETAPS 2022, Munich, Germany, April 2-7, 2022, Proceedings</t>
  </si>
  <si>
    <t>Sergey, Ilya</t>
  </si>
  <si>
    <t>Foundations of Software Science and Computation Structures : 25th International Conference, FOSSACS 2022, Held As Part of the European Joint Conferences on Theory and Practice of Software, ETAPS 2022, Munich, Germany, April 2-7, 2022, Proceedings</t>
  </si>
  <si>
    <t>Bouyer, Patricia</t>
  </si>
  <si>
    <t>Tools and Algorithms for the Construction and Analysis of Systems : 28th International Conference, TACAS 2022, Held As Part of the European Joint Conferences on Theory and Practice of Software, ETAPS 2022, Munich, Germany, April 2-7, 2022, Proceedings, Part I</t>
  </si>
  <si>
    <t>Fisman, Dana</t>
  </si>
  <si>
    <t>Precision Oncology and Cancer Biomarkers : Issues at Stake and Matters of Concern</t>
  </si>
  <si>
    <t>Bremer, Anne</t>
  </si>
  <si>
    <t>Tools and Algorithms for the Construction and Analysis of Systems : 28th International Conference, TACAS 2022, Held As Part of the European Joint Conferences on Theory and Practice of Software, ETAPS 2022, Munich, Germany, April 2-7, 2022, Proceedings, Part II</t>
  </si>
  <si>
    <t>From Digital Twins to Digital Selves and Beyond : Engineering and Social Models for a Trans-Humanist World</t>
  </si>
  <si>
    <t>Barachini, Franz</t>
  </si>
  <si>
    <t>Evidence and Expertise in Nordic Education Policy : A Comparative Network Analysis</t>
  </si>
  <si>
    <t>Karseth, Berit</t>
  </si>
  <si>
    <t>Bullying Im Klassenverband - Doch Nicht Nur in der Schule : Eine Charakterisierung der Rollen Bei Schul- und Cyberbullying</t>
  </si>
  <si>
    <t>Knauf, Rhea-Katharina</t>
  </si>
  <si>
    <t>Organizational, Motivational, and Cultural Contexts of Volunteering : The European View</t>
  </si>
  <si>
    <t>Güntert, Stefan T.</t>
  </si>
  <si>
    <t>Diskurs und Materialität : Eine Dispositivanalyse des Drogentestens</t>
  </si>
  <si>
    <t>Egbert, Simon</t>
  </si>
  <si>
    <t>Infrastructure Investment in Indonesia : A Focus on Ports</t>
  </si>
  <si>
    <t>Duffield, Colin</t>
  </si>
  <si>
    <t>Russian in The 1740s</t>
  </si>
  <si>
    <t>Rosén, Thomas</t>
  </si>
  <si>
    <t>The Twilight of the Avant-Garde : Spanish Poetry 1980-2000</t>
  </si>
  <si>
    <t>Mayhew, Jonathan</t>
  </si>
  <si>
    <t>Ciaran Carson : Space, Place, Writing</t>
  </si>
  <si>
    <t>Alexander, Neal</t>
  </si>
  <si>
    <t>Essentials of Financial Management</t>
  </si>
  <si>
    <t>Laws, Jason</t>
  </si>
  <si>
    <t>The Letters of Elizabeth Rigby, Lady Eastlake</t>
  </si>
  <si>
    <t>Sheldon, Julie</t>
  </si>
  <si>
    <t>Diasporic Hallyu : The Korean Wave in Korean Canadian Youth Culture</t>
  </si>
  <si>
    <t>Yoon, Kyong</t>
  </si>
  <si>
    <t>Multimedia Forensics</t>
  </si>
  <si>
    <t>Sencar, Husrev Taha</t>
  </si>
  <si>
    <t>Automatic Adaptation of Swedish Text for Increased Inclusion</t>
  </si>
  <si>
    <t>Rennes, Evelina</t>
  </si>
  <si>
    <t>Legitimacy and Comprehensibility of Work-Related Assessments and Official Decisions Within the Sickness Insurance System</t>
  </si>
  <si>
    <t>Karlsson, Elin</t>
  </si>
  <si>
    <t>Police Code of Silence in Times of Change</t>
  </si>
  <si>
    <t>Kutnjak Ivković, Sanja</t>
  </si>
  <si>
    <t>Krankenhaus-Report 2022 : Patientenversorgung Während der Pandemie</t>
  </si>
  <si>
    <t>Selbstbestimmung, Privatheit und Datenschutz : Gestaltungsoptionen Für Einen Europäischen Weg</t>
  </si>
  <si>
    <t>Friedewald, Michael</t>
  </si>
  <si>
    <t>Assessment of Cancer Screening : A Primer</t>
  </si>
  <si>
    <t>Marcus, Pamela M.</t>
  </si>
  <si>
    <t>Cybersecurity of Digital Service Chains : Challenges, Methodologies, and Tools</t>
  </si>
  <si>
    <t>Kołodziej, Joanna</t>
  </si>
  <si>
    <t>Feeling Political : Emotions and Institutions Since 1789</t>
  </si>
  <si>
    <t>Frevert, Ute</t>
  </si>
  <si>
    <t>Recent Advances in Industrial and Applied Mathematics</t>
  </si>
  <si>
    <t>Chacón Rebollo, Tomás</t>
  </si>
  <si>
    <t>Root, Tuber and Banana Food System Innovations : Value Creation for Inclusive Outcomes</t>
  </si>
  <si>
    <t>Thiele, Graham</t>
  </si>
  <si>
    <t>Politische Bildung Für Die Digitale Öffentlichkeit : Umgang Mit Politischer Information und Kommunikation in Digitalen Räumen</t>
  </si>
  <si>
    <t>Hubacher, Manuel S.</t>
  </si>
  <si>
    <t>The Reflector</t>
  </si>
  <si>
    <t>Battaglia, Jennifer</t>
  </si>
  <si>
    <t>Across the Copperbelt : Urban and Social Change in Central Africa's Borderland Communities</t>
  </si>
  <si>
    <t>Boydell &amp; Brewer, Limited</t>
  </si>
  <si>
    <t>Larmer, Miles</t>
  </si>
  <si>
    <t>Berlioz in Time : From Early Recognition to Lasting Renown</t>
  </si>
  <si>
    <t>Bloom, Peter</t>
  </si>
  <si>
    <t>Health and Zionism : The Israeli Health Care System, 1948-1960</t>
  </si>
  <si>
    <t>Shvarts, Shifra</t>
  </si>
  <si>
    <t>Electricity in Africa : The Politics of Transformation in Uganda</t>
  </si>
  <si>
    <t>Gore, Christopher</t>
  </si>
  <si>
    <t>Coming Out</t>
  </si>
  <si>
    <t>Boydell &amp; Brewer, Incorporated</t>
  </si>
  <si>
    <t>Frackman, Kyle</t>
  </si>
  <si>
    <t>The Consistory and Social Discipline in Calvin's Geneva</t>
  </si>
  <si>
    <t>Watt, Jeffrey R.</t>
  </si>
  <si>
    <t>The Workers' Health Fund in Eretz Israel : Kupat Holim, 1911-1937</t>
  </si>
  <si>
    <t>Capital and Corporal Punishment in Anglo-Saxon England</t>
  </si>
  <si>
    <t>Gates, Jay Paul</t>
  </si>
  <si>
    <t>West African Masking Traditions and Diaspora Masquerade Carnivals : History, Memory, and Transnationalism</t>
  </si>
  <si>
    <t>Njoku, Raphael Chijioke</t>
  </si>
  <si>
    <t>Causes and Consequences of Impulsivity in Red Junglefowl</t>
  </si>
  <si>
    <t>Garnham, Laura</t>
  </si>
  <si>
    <t>High-Performance Nickel-based Superalloys for Additive Manufacturing</t>
  </si>
  <si>
    <t>Xu, Jinghao</t>
  </si>
  <si>
    <t>Dealing with Damaged lysosomes : Impact of Lysosomal Membrane stability in Health and Disease</t>
  </si>
  <si>
    <t>Eriksson, Ida</t>
  </si>
  <si>
    <t>Health Dimensions of COVID-19 in India and Beyond</t>
  </si>
  <si>
    <t>Data Science-Based Full-Lifespan Management of Lithium-Ion Battery : Manufacturing, Operation and Reutilization</t>
  </si>
  <si>
    <t>Liu, Kailong</t>
  </si>
  <si>
    <t>Logischer Empirismus, Lebensreform und Die Deutsche Jugendbewegung : Logical Empiricism, Life Reform, and the German Youth Movement</t>
  </si>
  <si>
    <t>Narrative Ethics in Public Health: the Value of Stories</t>
  </si>
  <si>
    <t>Barrett, Drue H.</t>
  </si>
  <si>
    <t>A Prodigy of Universal Genius: Robert Leslie Ellis, 1817-1859</t>
  </si>
  <si>
    <t>Verburgt, Lukas M.</t>
  </si>
  <si>
    <t>Proceedings of the 8th International Conference on Civil Engineering</t>
  </si>
  <si>
    <t>Feng, Guangliang</t>
  </si>
  <si>
    <t>Von Verteidigern und Entdeckern : Ein Neuer Identitätskonflikt in Europa</t>
  </si>
  <si>
    <t>Back, Mitja</t>
  </si>
  <si>
    <t>Quantifying Quality of Life : Incorporating Daily Life into Medicine</t>
  </si>
  <si>
    <t>Wac, Katarzyna</t>
  </si>
  <si>
    <t>Torture, Humiliate, Kill : Inside the Bosnian Serb Camp System</t>
  </si>
  <si>
    <t>Karcic, Hikmet</t>
  </si>
  <si>
    <t>Effects of Commercial Hatchery Processing on Behaviour and Welfare of Laying Hens</t>
  </si>
  <si>
    <t>Hedlund, Louise</t>
  </si>
  <si>
    <t>Ontology-Driven Data Access and Data Integration with an Application in the Materials Design Domain</t>
  </si>
  <si>
    <t>Li, Huanyu</t>
  </si>
  <si>
    <t>Optimisation Models for Train Timetabling and Marshalling Yard Planning</t>
  </si>
  <si>
    <t>Gestrelius, Sara</t>
  </si>
  <si>
    <t>Clinical and Biological Factors Related to Survival in Patients with Rectal Cancer</t>
  </si>
  <si>
    <t>Kotti, Angeliki</t>
  </si>
  <si>
    <t>Decolonisations of Literature : Critical Practice in Africa and Brazil After 1945</t>
  </si>
  <si>
    <t>Helgesson, Stefan</t>
  </si>
  <si>
    <t>Modern Cryptography Volume 1 : A Classical Introduction to Informational and Mathematical Principle</t>
  </si>
  <si>
    <t>Zheng, Zhiyong</t>
  </si>
  <si>
    <t>Modern Introduction To Particle Physics, A (3rd Edition)</t>
  </si>
  <si>
    <t>Fayyazuddin, .</t>
  </si>
  <si>
    <t>XxAI - Beyond Explainable AI : International Workshop, Held in Conjunction with ICML 2020, July 18, 2020, Vienna, Austria, Revised and Extended Papers</t>
  </si>
  <si>
    <t>Holzinger, Andreas</t>
  </si>
  <si>
    <t>Motivationale Aspekte Mathematischer Lernprozesse : Eine Untersuchung Zu Professionellen Kompetenzen der Motivationsförderung Im Mathematikunterricht</t>
  </si>
  <si>
    <t>Hettmann, Maximilian</t>
  </si>
  <si>
    <t>Bienen an der Hochschule : Ein Interdisziplinäres Nachhaltigkeitsprojekt</t>
  </si>
  <si>
    <t>Being Human During COVID</t>
  </si>
  <si>
    <t>Hass, Kristin</t>
  </si>
  <si>
    <t>Islamische Kultur und moderne Gesellschaft : Gesammelte Aufsätze zur Soziologie des Islams</t>
  </si>
  <si>
    <t>Stauth, Georg</t>
  </si>
  <si>
    <t>Class, Culture and Space : The Construction and Shaping of Communal Space in South Thailand</t>
  </si>
  <si>
    <t>Horstmann, Alexander</t>
  </si>
  <si>
    <t>Shops und kommerzielle Warenangebote : Publikumsorientierte Instrumente zur Steigerung der Museumsattraktivität</t>
  </si>
  <si>
    <t>John, Hartmut</t>
  </si>
  <si>
    <t>Situating Globalization : Views from Egypt</t>
  </si>
  <si>
    <t>Nelson, Cynthia</t>
  </si>
  <si>
    <t>»Sicher in Kreuzberg« : Constructing Diasporas: Turkish Hip-Hop Youth in Berlin</t>
  </si>
  <si>
    <t>Die Politik der Verortung : Eine postkoloniale Reise zu einer ANDEREN Geographie der Welt</t>
  </si>
  <si>
    <t>Lossau, Julia</t>
  </si>
  <si>
    <t>Stimme und Blick : Zwischen Aufschub des Todes und Zeichen der Hingabe: Hölderlin - Carpaccio - Heiner Müller - Fra Angelico</t>
  </si>
  <si>
    <t>Gottlob, Susanne</t>
  </si>
  <si>
    <t>Eine Wellenlänge zu Gott : Der »Verband der Islamischen Kulturzentren in Europa«</t>
  </si>
  <si>
    <t>Jonker, Gerdien</t>
  </si>
  <si>
    <t>Götterdämmerung : Auf der Suche nach Religion</t>
  </si>
  <si>
    <t>Kleist lesen</t>
  </si>
  <si>
    <t>Müller-Schöll, Nikolaus</t>
  </si>
  <si>
    <t>Religiöse Strategien der »machbaren« Gesellschaft : Verwaltete Religion und islamistische Utopie in der Türkei</t>
  </si>
  <si>
    <t>Tezcan, Levent</t>
  </si>
  <si>
    <t>Mensch - Natur : Helmuth Plessner und das Konzept einer dialektischen Anthropologie</t>
  </si>
  <si>
    <t>(verst.), Hans Heinz Holz</t>
  </si>
  <si>
    <t>Paradoxien der Entscheidung : Wahl/Selektion in Kunst, Literatur und Medien</t>
  </si>
  <si>
    <t>Pop Sounds : Klangtexturen in der Pop- und Rockmusik. Basics - Stories - Tracks</t>
  </si>
  <si>
    <t>(verst.), Thomas Phleps</t>
  </si>
  <si>
    <t>Nähte am Puppenkörper : Der mediale Blick und die Körperentwürfe des Theaters</t>
  </si>
  <si>
    <t>Wagner, Meike</t>
  </si>
  <si>
    <t>Mikrologien : Literarische und philosophische Figuren des Kleinen</t>
  </si>
  <si>
    <t>Schuller, Marianne</t>
  </si>
  <si>
    <t>EXPOSITUM : Zum Verhältnis von Ausstellung und Wirklichkeit</t>
  </si>
  <si>
    <t>Klein, Alexander</t>
  </si>
  <si>
    <t>Geschichtsbewußtsein im Jugendalter : Grundzüge einer Entwicklungspsychologie historischer Sinnbildung</t>
  </si>
  <si>
    <t>Kölbl, Carlos</t>
  </si>
  <si>
    <t>Kino der Lüge</t>
  </si>
  <si>
    <t>Kratochwill, Kerstin</t>
  </si>
  <si>
    <t>Wissenschaft, die Grenzen schafft : Geschlechterkonstellationen im disziplinären Vergleich</t>
  </si>
  <si>
    <t>Heintz, Bettina</t>
  </si>
  <si>
    <t>Bewegung : Sozial- und kulturwissenschaftliche Konzepte</t>
  </si>
  <si>
    <t>»Ein guter Mann ist harte Arbeit« : Eine ethnographische Studie zu philippinischen Heiratsmigrantinnen</t>
  </si>
  <si>
    <t>Lauser, Andrea</t>
  </si>
  <si>
    <t>Transkulturalität als Praxis : Unternehmer türkischer Herkunft in Berlin</t>
  </si>
  <si>
    <t>Religion und Museum : Zur visuellen Repräsentation von Religion/en im öffentlichen Raum</t>
  </si>
  <si>
    <t>Bräunlein, Peter J.</t>
  </si>
  <si>
    <t>Körperliche Erkenntnis : Formen reflexiver Erfahrung</t>
  </si>
  <si>
    <t>Bockrath, Franz</t>
  </si>
  <si>
    <t>Jenseits des Paradigmas kultureller Differenz : Neue Perspektiven auf Einwanderer aus der Türkei</t>
  </si>
  <si>
    <t>Sökefeld, Martin</t>
  </si>
  <si>
    <t>Emotionstheorien : Begriffliche Arbeit am Gefühl</t>
  </si>
  <si>
    <t>Kochinka, Alexander</t>
  </si>
  <si>
    <t>Optische Magie : Zur Geschichte der visuellen Medien in der Frühen Neuzeit</t>
  </si>
  <si>
    <t>Gronemeyer, Nicole</t>
  </si>
  <si>
    <t>Lebendige Erinnerungen : Die Konstitution und Vermittlung lebensgeschichtlicher Erfahrung in autobiographischen Erzählungen</t>
  </si>
  <si>
    <t>Seitz, Hartmut</t>
  </si>
  <si>
    <t>Event zieht - Inhalt bindet : Besucherorientierung von Museen auf neuen Wegen</t>
  </si>
  <si>
    <t>Commandeur, Beatrix</t>
  </si>
  <si>
    <t>Analog/Digital - Opposition oder Kontinuum? : Zur Theorie und Geschichte einer Unterscheidung</t>
  </si>
  <si>
    <t>Schröter, Jens</t>
  </si>
  <si>
    <t>Medien(sub)kultur : Geschichten - Diskurse - Entwürfe</t>
  </si>
  <si>
    <t>Jacke, Christoph</t>
  </si>
  <si>
    <t>Grenzgänge : Pädagogische Lektüren zeitgenössischer Romane</t>
  </si>
  <si>
    <t>Koller, Hans-Christoph</t>
  </si>
  <si>
    <t>»From the Native's Point of View«? : Kulturelle Globalisierung nach Clifford Geertz und Pierre Bourdieu</t>
  </si>
  <si>
    <t>Kumoll, Karsten</t>
  </si>
  <si>
    <t>Rassismus als flexible symbolische Ressource : Eine Studie über rassistische Argumentationsfiguren</t>
  </si>
  <si>
    <t>Scherschel, Karin</t>
  </si>
  <si>
    <t>Lernen Beraten : Eine dekonstruktive Analyse des Diskurses zur Weiterbildung</t>
  </si>
  <si>
    <t>Kossack, Peter</t>
  </si>
  <si>
    <t>Organisierte Umwelt : Umweltdienstleistungsfirmen zwischen Wissenschaft, Wirtschaft und Politik</t>
  </si>
  <si>
    <t>Guggenheim, Michael</t>
  </si>
  <si>
    <t>KörperSpuren : Zur Dekonstruktion von Körper und Behinderung in biografischen Erzählungen von Frauen</t>
  </si>
  <si>
    <t>Bruner, Claudia Franziska</t>
  </si>
  <si>
    <t>Realexperimente : Ökologische Gestaltungsprozesse in der Wissensgesellschaft</t>
  </si>
  <si>
    <t>Groß, Matthias</t>
  </si>
  <si>
    <t>Ortsgespräche : Raum und Kommunikation im 19. und 20. Jahrhundert</t>
  </si>
  <si>
    <t>Geppert, Alexander C.T.</t>
  </si>
  <si>
    <t>Atelier und Dichterzimmer in neuen Medienwelten : Zur aktuellen Situation von Künstler- und Literaturhäusern</t>
  </si>
  <si>
    <t>Autsch, Sabiene</t>
  </si>
  <si>
    <t>Zwischen Anthropologie und Gesellschaftstheorie : Zur Renaissance Helmuth Plessners im Kontext der modernen Lebenswissenschaften</t>
  </si>
  <si>
    <t>Gamm, Gerhard</t>
  </si>
  <si>
    <t>Sprache und Fremdsprache : Psychoanalytische Aufsätze</t>
  </si>
  <si>
    <t>(verst.), Jutta Prasse</t>
  </si>
  <si>
    <t>Die unendliche Aufgabe : Kritik und Perspektiven der Demokratietheorie</t>
  </si>
  <si>
    <t>Heil, Reinhard</t>
  </si>
  <si>
    <t>Männlichkeit und gymnasialer Alltag : Doing Gender im heutigen Bildungssystem</t>
  </si>
  <si>
    <t>Budde, Jürgen</t>
  </si>
  <si>
    <t>Religiöser Pluralismus : Empirische Studien und analytische Perspektiven</t>
  </si>
  <si>
    <t>Baumann, Martin</t>
  </si>
  <si>
    <t>Materialität denken : Studien zur technologischen Verkörperung - Hybride Artefakte, posthumane Körper</t>
  </si>
  <si>
    <t>Unbestimmtheitssignaturen der Technik : Eine neue Deutung der technisierten Welt</t>
  </si>
  <si>
    <t>»Intellektuelle Anschauung« : Figurationen von Evidenz zwischen Kunst und Wissen</t>
  </si>
  <si>
    <t>Peters, Sibylle</t>
  </si>
  <si>
    <t>Museen und Stadtimagebildung : Amsterdam - Frankfurt/Main - Prag. Ein Vergleich</t>
  </si>
  <si>
    <t>Puhan-Schulz, Franziska</t>
  </si>
  <si>
    <t>Childhood and Migration : From Experience to Agency</t>
  </si>
  <si>
    <t>Knörr, Jacqueline</t>
  </si>
  <si>
    <t>Kulturschutt : Über das Recycling von Theorien und Kulturen</t>
  </si>
  <si>
    <t>Thumb Culture : The Meaning of Mobile Phones for Society</t>
  </si>
  <si>
    <t>(verst.), Peter Glotz</t>
  </si>
  <si>
    <t>Keiner wird gewinnen : Populäre Musik im Wettbewerb</t>
  </si>
  <si>
    <t>Helms, Dietrich</t>
  </si>
  <si>
    <t>Diskurs - Stadt - Kriminalität : Städtische (Un-)Sicherheiten aus der Perspektive von Stadtforschung und Kritischer Kriminalgeographie</t>
  </si>
  <si>
    <t>Glasze, Georg</t>
  </si>
  <si>
    <t>Konstruktionen von Europa : Die europäische Identität und die Kulturpolitik der Europäischen Union</t>
  </si>
  <si>
    <t>Quenzel, Gudrun</t>
  </si>
  <si>
    <t>Körperspuren : Zur Semantik und Paradoxie moderner Körperlichkeit</t>
  </si>
  <si>
    <t>Bette, Karl-Heinrich</t>
  </si>
  <si>
    <t>Chicks Rule! : Die schönen neuen Heldinnen in US-amerikanischen Fernsehserien</t>
  </si>
  <si>
    <t>Lenzhofer, Karin</t>
  </si>
  <si>
    <t>Interkulturelles Handeln in der globalisierten Hochschulbildung : Eine kultursoziologische Studie</t>
  </si>
  <si>
    <t>Otten, Matthias</t>
  </si>
  <si>
    <t>Wie Katie Tingle sich weigerte, ordentlich zu posieren und Walker Evans darüber nicht grollte : Eine kritische Bildbetrachtung sozialdokumentarischer Fotografie</t>
  </si>
  <si>
    <t>Leicht, Michael</t>
  </si>
  <si>
    <t>Unfinished Business : Quentin Tarantinos »Kill Bill« und die offenen Rechnungen der Kulturwissenschaften</t>
  </si>
  <si>
    <t>Geisenhanslüke, Achim</t>
  </si>
  <si>
    <t>Der Stamm der Experten : Rhetorik und Praxis des Interkulturellen Managements in der deutschen staatlichen Entwicklungszusammenarbeit</t>
  </si>
  <si>
    <t>Hüsken, Thomas</t>
  </si>
  <si>
    <t>Wissen. Erzählen. : Narrative der Humanwissenschaften</t>
  </si>
  <si>
    <t>Höcker, Arne</t>
  </si>
  <si>
    <t>Die Ordnung der Klänge : Das Wechselspiel der Künste vom Bauhaus zum Black Mountain College</t>
  </si>
  <si>
    <t>Schoon, Andi</t>
  </si>
  <si>
    <t>Negotiating Urban Conflicts : Interaction, Space and Control</t>
  </si>
  <si>
    <t>Berking, Helmuth</t>
  </si>
  <si>
    <t>Affekte : Analysen ästhetisch-medialer Prozesse</t>
  </si>
  <si>
    <t>Krause-Wahl, Antje</t>
  </si>
  <si>
    <t>Metamorphosen des Signifikanten : Zur Bedeutung des Körperbilds für die Realität des Subjekts</t>
  </si>
  <si>
    <t>Widmer, Peter</t>
  </si>
  <si>
    <t>Towards a Multiversity? : Universities between Global Trends and National Traditions</t>
  </si>
  <si>
    <t>Krücken, Georg</t>
  </si>
  <si>
    <t>Daumenkultur : Das Mobiltelefon in der Gesellschaft</t>
  </si>
  <si>
    <t>Der Orient, die Fremde : Positionen zeitgenössischer Kunst und Literatur</t>
  </si>
  <si>
    <t>Göckede, Regina</t>
  </si>
  <si>
    <t>Ethik, Ethos, Ethnos : Aspekte und Probleme interkultureller Ethik</t>
  </si>
  <si>
    <t>Hornbacher, Annette</t>
  </si>
  <si>
    <t>Islam in Process : Historical and Civilizational Perspectives (Yearbook of the Sociology of Islam 7)</t>
  </si>
  <si>
    <t>Arnason, Johann P.</t>
  </si>
  <si>
    <t>Migrieren - Arbeiten - Krankwerden : Eine biographietheoretische Untersuchung</t>
  </si>
  <si>
    <t>Schulze, Heidrun</t>
  </si>
  <si>
    <t>Unzeitgemäße Utopien : Migrantinnen zwischen Selbsterfindung und Gelehrter Hoffnung</t>
  </si>
  <si>
    <t>Varela, María do Mar Castro</t>
  </si>
  <si>
    <t>Äpfel und Birnen : Illegitimes Vergleichen in den Kulturwissenschaften</t>
  </si>
  <si>
    <t>Lutz, Helga</t>
  </si>
  <si>
    <t>Integration durch Massenmedien / Mass Media-Integration : Medien und Migration im internationalen Vergleich / Media and Migration: A Comparative Perspective</t>
  </si>
  <si>
    <t>Geißler, Rainer</t>
  </si>
  <si>
    <t>Images von Gewicht : Soziale Bewegungen, Queer Theory und Kunst in den USA</t>
  </si>
  <si>
    <t>Hieber, Lutz</t>
  </si>
  <si>
    <t>»älter - bunter - weniger« : Die demografische Herausforderung an die Kultur</t>
  </si>
  <si>
    <t>Stiftung Niedersachsen</t>
  </si>
  <si>
    <t>Politics of Visibility : Young Muslims in European Public Spaces</t>
  </si>
  <si>
    <t>Musik in der Migration : Beobachtungen zur kulturellen Artikulation türkischer Jugendlicher in Deutschland</t>
  </si>
  <si>
    <t>Wurm, Maria</t>
  </si>
  <si>
    <t>Kafkas Institutionen</t>
  </si>
  <si>
    <t>Hautkontakt der Schriftsysteme : Japan im Zeichen der Globalisierung: Geldflüsse und Werbetexte</t>
  </si>
  <si>
    <t>Heinze, Ulrich</t>
  </si>
  <si>
    <t>Rechtlos, aber nicht ohne Stimme : Politische Mobilisierungen um irreguläre Migration in die Europäische Union</t>
  </si>
  <si>
    <t>Die unverstandene Kultur : Perspektiven einer Kritischen Theorie der Mediengesellschaft</t>
  </si>
  <si>
    <t>Adolf, Marian</t>
  </si>
  <si>
    <t>Verschwindet die Natur? : Die Akteur-Netzwerk-Theorie in der umweltsoziologischen Diskussion</t>
  </si>
  <si>
    <t>Voss, Martin</t>
  </si>
  <si>
    <t>MedienRevolutionen : Beiträge zur Mediengeschichte der Wahrnehmung</t>
  </si>
  <si>
    <t>Schnell, Ralf</t>
  </si>
  <si>
    <t>Kulturelle Einflussangst : Inszenierungen der Grenze in der Reiseliteratur des 19. Jahrhunderts</t>
  </si>
  <si>
    <t>Frank, Michael C.</t>
  </si>
  <si>
    <t>Symbolische Formen : Grundlagen und Elemente einer Soziologie der Katastrophe</t>
  </si>
  <si>
    <t>Zum Identitätsdiskurs in den Sozialwissenschaften : Eine postkolonial und queer informierte Kritik an George H. Mead, Erik H. Erikson und Erving Goffman</t>
  </si>
  <si>
    <t>Jungwirth, Ingrid</t>
  </si>
  <si>
    <t>Körper denken in Bewegung : Zur Wahrnehmung tänzerischen Sinns bei William Forsythe und Saburo Teshigawara</t>
  </si>
  <si>
    <t>Berger, Christiane</t>
  </si>
  <si>
    <t>Kunst - Museum - Kontexte : Perspektiven der Kunst- und Kulturvermittlung</t>
  </si>
  <si>
    <t>Kittlausz, Viktor</t>
  </si>
  <si>
    <t>Beobachtungen der Realität : Die Frage nach der Wirklichkeit im Zeitalter der Neuen Medien</t>
  </si>
  <si>
    <t>Jörissen, Benjamin</t>
  </si>
  <si>
    <t>Von Polen nach Deutschland und zurück : Die Arbeitsmigration und ihre Herausforderungen für Europa</t>
  </si>
  <si>
    <t>Rapocalypse : Der Anfang des Rap und das Ende der Welt</t>
  </si>
  <si>
    <t>Werner, Florian</t>
  </si>
  <si>
    <t>Architekturen in Zelluloid : Der filmische Blick auf den Raum</t>
  </si>
  <si>
    <t>Agotai, Doris</t>
  </si>
  <si>
    <t>Gouvernementalität und Sicherheit : Zeitdiagnostische Beiträge im Anschluss an Foucault</t>
  </si>
  <si>
    <t>Der computeranimierte Spielfilm : Forschungen zur Inszenierung und Klassifizierung des 3-D-Computer-Trickfilms</t>
  </si>
  <si>
    <t>Kohlmann, Klaus</t>
  </si>
  <si>
    <t>Dancing Postcolonialism : The National Dance Theatre Company of Jamaica</t>
  </si>
  <si>
    <t>Sörgel, Sabine</t>
  </si>
  <si>
    <t>Im Kino der Humanwissenschaften : Studien zur Medialisierung wissenschaftlichen Wissens</t>
  </si>
  <si>
    <t>Reichert, Ramón</t>
  </si>
  <si>
    <t>Literarische Foto-Texte : Zur Funktion der Fotografien in den Texten Rolf Dieter Brinkmanns, Alexander Kluges und W.G. Sebalds</t>
  </si>
  <si>
    <t>Steinaecker, Thomas von</t>
  </si>
  <si>
    <t>Lived Temporalities : Exploring Duration in Guatemala. Empirical and Theoretical Studies</t>
  </si>
  <si>
    <t>Mahler, Julia</t>
  </si>
  <si>
    <t>Psychosen: eine Herausforderung für die Psychoanalyse : Strukturen - Klinik - Produktionen</t>
  </si>
  <si>
    <t>Evolution und Rasse : Theoretischer und institutioneller Wandel in der viktorianischen Anthropologie</t>
  </si>
  <si>
    <t>Gondermann, Thomas</t>
  </si>
  <si>
    <t>Wege zur Integration : Lebenswelten muslimischer Jugendlicher in Deutschland</t>
  </si>
  <si>
    <t>Öztürk, Halit</t>
  </si>
  <si>
    <t>Transnationale Migrationen : Post-jugoslawische Biografien in der Weltgesellschaft</t>
  </si>
  <si>
    <t>Goeke, Pascal</t>
  </si>
  <si>
    <t>Express yourself! : Europas kulturelle Kreativität zwischen Markt und Underground</t>
  </si>
  <si>
    <t>»Gender and Science« : Perspektiven in den Natur- und Ingenieurwissenschaften</t>
  </si>
  <si>
    <t>Leicht-Scholten, Carmen</t>
  </si>
  <si>
    <t>Keywork : Neue Wege in der Kultur- und Bildungsarbeit mit Älteren</t>
  </si>
  <si>
    <t>Knopp, Reinhold</t>
  </si>
  <si>
    <t>The Politics of Imagination : Benjamin, Kracauer, Kluge</t>
  </si>
  <si>
    <t>Forrest, Tara</t>
  </si>
  <si>
    <t>Doing Time : Die zeitliche Ästhetik von Essen, Trinken und Lebensstilen</t>
  </si>
  <si>
    <t>Lincke, Hans-Joachim</t>
  </si>
  <si>
    <t>Gender und Fernsehen : Perspektiven einer kritischen Medienwissenschaft</t>
  </si>
  <si>
    <t>Maier, Tanja</t>
  </si>
  <si>
    <t>Das Opernhafte : Eine Studie zum »gusto melodrammatico« in Italien und Europa</t>
  </si>
  <si>
    <t>Amodeo, Immacolata</t>
  </si>
  <si>
    <t>Lone Star Texas : Ethnographische Notizen aus einem unbekannten Land</t>
  </si>
  <si>
    <t>Haller, Dieter</t>
  </si>
  <si>
    <t>Transit Marseille : Filmgeschichte einer Mittelmeermetropole</t>
  </si>
  <si>
    <t>Winkler, Daniel</t>
  </si>
  <si>
    <t>Männlichkeiten und Moderne : Geschlecht in den Wissenskulturen um 1900</t>
  </si>
  <si>
    <t>Brunotte, Ulrike</t>
  </si>
  <si>
    <t>Geschlecht als Tabu : Orte, Dynamiken und Funktionen der De/Thematisierung von Geschlecht</t>
  </si>
  <si>
    <t>Frietsch, Ute</t>
  </si>
  <si>
    <t>Das Unbehagen in der Islamwissenschaft : Ein klassisches Fach im Scheinwerferlicht der Politik und der Medien</t>
  </si>
  <si>
    <t>Poya, Abbas</t>
  </si>
  <si>
    <t>Der Holocaust als Herausforderung für den Film : Formen des filmischen Umgangs mit der Shoah seit 1945. Eine Wirkungstypologie</t>
  </si>
  <si>
    <t>Corell, Catrin</t>
  </si>
  <si>
    <t>Ästhetik der Immersion : Raum-Erleben zwischen Welt und Bild. Las Vegas, Washington und die White City</t>
  </si>
  <si>
    <t>Die Verrücktheit des Sinns : Wahnsinn und Zeichen bei Kant, E.T.A. Hoffmann und Thomas Carlyle</t>
  </si>
  <si>
    <t>Kohns, Oliver</t>
  </si>
  <si>
    <t>»das Dennoch jedes Buchstabens« : Hilde Domins Gedichte im Diskurs um Lyrik nach Auschwitz</t>
  </si>
  <si>
    <t>Karsch, Margret</t>
  </si>
  <si>
    <t>Transnationale Perspektiven : Eine Studie zur Migration zwischen Polen und Deutschland</t>
  </si>
  <si>
    <t>Public-Private Dynamics in Higher Education : Expectations, Developments and Outcomes</t>
  </si>
  <si>
    <t>Enders, Jürgen</t>
  </si>
  <si>
    <t>Die Ökologie der Literatur : Eine systemtheoretische Annäherung. Mit einer Studie zu Werken Peter Handkes</t>
  </si>
  <si>
    <t>Hofer, Stefan</t>
  </si>
  <si>
    <t>Menschliches Handeln als Improvisation : Sozial- und musikwissenschaftliche Perspektiven</t>
  </si>
  <si>
    <t>Kurt, Ronald</t>
  </si>
  <si>
    <t>Rhetorik des Subjekts : Zur textuellen Konstruktion des Subjekts in feministischen und anderen postmodernen Diskursen</t>
  </si>
  <si>
    <t>Pritsch, Sylvia</t>
  </si>
  <si>
    <t>Welt.Raum.Körper : Transformationen und Entgrenzungen von Körper und Raum</t>
  </si>
  <si>
    <t>Würmann, Carsten</t>
  </si>
  <si>
    <t>HipHop meets Academia : Globale Spuren eines lokalen Kulturphänomens</t>
  </si>
  <si>
    <t>Bock, Karin</t>
  </si>
  <si>
    <t>Orte des Tourismus : Eine raum- und gesellschaftstheoretische Untersuchung</t>
  </si>
  <si>
    <t>Pott, Andreas</t>
  </si>
  <si>
    <t>Biographische Wechselwirkungen : Genderkonstruktionen und »kulturelle Differenz« in den Lebensentwürfen binationaler Paare</t>
  </si>
  <si>
    <t>Menz, Margarete</t>
  </si>
  <si>
    <t>Das Gegendenkmal : Avantgardekunst, Geschichtspolitik und Geschlecht in der bundesdeutschen Erinnerungskultur</t>
  </si>
  <si>
    <t>Tomberger, Corinna</t>
  </si>
  <si>
    <t>Politik der Gemeinschaft : Zur Konstitution des Politischen in der Gegenwart</t>
  </si>
  <si>
    <t>Böckelmann, Janine</t>
  </si>
  <si>
    <t>Berlin aufgemischt: abendländisch, multikulturell, kosmopolitisch? : Die politische Konstruktion einer Einwanderungsstadt</t>
  </si>
  <si>
    <t>Lanz, Stephan</t>
  </si>
  <si>
    <t>Von der »Kultur« zur »Rasse« - vom Objekt zum Körper? : Völkerkundemuseen und ihre Wissenschaften zu Beginn des 20. Jahrhunderts</t>
  </si>
  <si>
    <t>Laukötter, Anja</t>
  </si>
  <si>
    <t>Der Arbeitskraftunternehmer und seine Bildung : Zur (berufs-)pädagogischen Sicht auf die Paradoxien subjektivierter Arbeit</t>
  </si>
  <si>
    <t>Elster, Frank</t>
  </si>
  <si>
    <t>Grenzen. Differenzen. Übergänge. : Spannungsfelder inter- und transkultureller Kommunikation</t>
  </si>
  <si>
    <t>Gunsenheimer, Antje</t>
  </si>
  <si>
    <t>Die Rituale der Freimaurer : Zur Konstitution eines bürgerlichen Habitus im England des 18. Jahrhunderts</t>
  </si>
  <si>
    <t>Hasselmann, Kristiane</t>
  </si>
  <si>
    <t>Alien Gender : Die Inszenierung von Geschlecht in Science-Fiction-Serien</t>
  </si>
  <si>
    <t>Sennewald, Nadja</t>
  </si>
  <si>
    <t>Differenz und Raum : Zwischen Hegel, Wittgenstein und Derrida</t>
  </si>
  <si>
    <t>Quadflieg, Dirk</t>
  </si>
  <si>
    <t>Hin zum Film - Zurück zu den Bildern : Tableaux Vivants: »Lebende Bilder« in Filmen von Antamoro, Korda, Visconti und Pasolini</t>
  </si>
  <si>
    <t>Barck, Joanna</t>
  </si>
  <si>
    <t>Von Stadtplanung und Immobilienwirtschaft : Die »South Boston Waterfront« als Beispiel für eine neue Strategie städtischer Baupolitik</t>
  </si>
  <si>
    <t>Heeg, Susanne</t>
  </si>
  <si>
    <t>Image : Zur Genealogie eines Kommunikationscodes der Massenmedien</t>
  </si>
  <si>
    <t>Kautt, York</t>
  </si>
  <si>
    <t>Durch Lesen sich selbst verstehen : Zum Verhältnis von Literatur und Identitätsbildung</t>
  </si>
  <si>
    <t>Huber, Florian</t>
  </si>
  <si>
    <t>Nicht(s) sagen : Strategien der Sprachabwendung im 20. Jahrhundert</t>
  </si>
  <si>
    <t>Alloa, Emmanuel</t>
  </si>
  <si>
    <t>Unheimliche Inskriptionen : Eine Studie zu Körperbildern im postklassischen Horrorfilm</t>
  </si>
  <si>
    <t>Shelton, Catherine</t>
  </si>
  <si>
    <t>Das Weib als Versuchsperson : Medizinische Menschenexperimente im 19. Jahrhundert am Beispiel der Syphilisforschung</t>
  </si>
  <si>
    <t>Sabisch, Katja</t>
  </si>
  <si>
    <t>The Making of World Society : Perspectives from Transnational Research</t>
  </si>
  <si>
    <t>Anghel, Remus Gabriel</t>
  </si>
  <si>
    <t>»Kultur«-Konstruktionen : Die gegenwärtige Gesellschaft im Spiegel volkskundlich-kulturwissenschaftlichen Wissens</t>
  </si>
  <si>
    <t>Eggmann, Sabine</t>
  </si>
  <si>
    <t>Paradoxes of Interactivity : Perspectives for Media Theory, Human-Computer Interaction, and Artistic Investigations</t>
  </si>
  <si>
    <t>Seifert, Uwe</t>
  </si>
  <si>
    <t>Frauenbewegung im Wandel der Generationen : Eine Studie über Geschlechterkonstruktionen in biographischen Erzählungen</t>
  </si>
  <si>
    <t>Thon, Christine</t>
  </si>
  <si>
    <t>Passagen der Pädagogik : Zur Fassung des pädagogischen Moments im Anschluss an Niklas Luhmann und Gilles Deleuze</t>
  </si>
  <si>
    <t>Friedrichs, Werner</t>
  </si>
  <si>
    <t>Die Fabrikation globaler Vielfalt : Struktur und Logik der transnationalen Popmusikindustrie</t>
  </si>
  <si>
    <t>Gebesmair, Andreas</t>
  </si>
  <si>
    <t>Nationalsozialismus und Geschlecht : Zur Politisierung und Ästhetisierung von Körper, »Rasse« und Sexualität im »Dritten Reich« und nach 1945</t>
  </si>
  <si>
    <t>Frietsch, Elke</t>
  </si>
  <si>
    <t>Zwischen Amazonas und East River : Indigene Bewegungen und ihre Repräsentation in Peru und bei der UNO</t>
  </si>
  <si>
    <t>Rößler, Maren</t>
  </si>
  <si>
    <t>Ästhetik der Objektivität : Genese und Funktion eines wissenschaftlichen und künstlerischen Stils im 19. Jahrhundert</t>
  </si>
  <si>
    <t>Zimmermann, Anja</t>
  </si>
  <si>
    <t>Parasiten und Sirenen : Zwischenräume als Orte der materiellen Wissensproduktion</t>
  </si>
  <si>
    <t>Dotzler, Bernhard J.</t>
  </si>
  <si>
    <t>Public Istanbul : Spaces and Spheres of the Urban</t>
  </si>
  <si>
    <t>Interkulturelle Mahlzeiten : Kulinarische Begegnungen und Kommunikation in der Literatur</t>
  </si>
  <si>
    <t>Lillge, Claudia</t>
  </si>
  <si>
    <t>»Ich Tarzan.« : Affenmenschen und Menschenaffen zwischen Science und Fiction</t>
  </si>
  <si>
    <t>Krüger, Gesine</t>
  </si>
  <si>
    <t>The Beatles on Film : Analysis of Movies, Documentaries, Spoofs and Cartoons</t>
  </si>
  <si>
    <t>Reiter, Roland</t>
  </si>
  <si>
    <t>Aggressive Medien : Zur Geschichte des Wissens über Mediengewalt</t>
  </si>
  <si>
    <t>Otto, Isabell</t>
  </si>
  <si>
    <t>Der Mann in der Krise : oder: Kapitalismuskritik in der Mainstreamkultur</t>
  </si>
  <si>
    <t>Kappert, Ines</t>
  </si>
  <si>
    <t>Mythos Enigma : Die Chiffriermaschine als Sammler- und Medienobjekt</t>
  </si>
  <si>
    <t>Landwehr, Dominik</t>
  </si>
  <si>
    <t>Der Star und seine Nutzer : Starkult und Identität in der Mediengesellschaft</t>
  </si>
  <si>
    <t>Keller, Katrin</t>
  </si>
  <si>
    <t>Geste : Bewegungen zwischen Film und Tanz</t>
  </si>
  <si>
    <t>Görling, Reinhold</t>
  </si>
  <si>
    <t>Selbsterkenntnis und Lebensform : Kritische Subjektivität nach Wittgenstein und Foucault</t>
  </si>
  <si>
    <t>Volbers, Jörg</t>
  </si>
  <si>
    <t>Wie geht Kultur unter die Haut? : Emergente Praxen an der Schnittstelle von Medizin, Lebens- und Sozialwissenschaft</t>
  </si>
  <si>
    <t>Niewöhner, Jörg</t>
  </si>
  <si>
    <t>Klang - Struktur - Konzept : Die Bedeutung der Neuen Musik für Free Jazz und Improvisationsmusik</t>
  </si>
  <si>
    <t>Lothwesen, Kai</t>
  </si>
  <si>
    <t>Disziplinieren und entspannen : Körper in der Schule - eine diskursanalytische Ethnographie</t>
  </si>
  <si>
    <t>Langer, Antje</t>
  </si>
  <si>
    <t>Verdrängungen des Ökonomischen : Bourdieus Theorie der Moderne</t>
  </si>
  <si>
    <t>Bongaerts, Gregor</t>
  </si>
  <si>
    <t>Migration und religiöse Dynamik : Ethnologische Religionsforschung im transnationalen Kontext</t>
  </si>
  <si>
    <t>Historische Generationen : Über einen sozialen Mechanismus kulturellen Wandels und kollektiver Kreativität</t>
  </si>
  <si>
    <t>Fietze, Beate</t>
  </si>
  <si>
    <t>Digitaler Realismus : Zwischen Computeranimation und Live-Action. Die neue Bildästhetik in Spielfilmen</t>
  </si>
  <si>
    <t>Richter, Sebastian</t>
  </si>
  <si>
    <t>Erdbeerpflücker, Spargelstecher, Erntehelfer : Polnische Saisonarbeiter in Deutschland - temporäre Arbeitsmigration im neuen Europa</t>
  </si>
  <si>
    <t>(verst.), Jörg Becker</t>
  </si>
  <si>
    <t>Port Cities as Areas of Transition : Ethnographic Perspectives</t>
  </si>
  <si>
    <t>Kokot, Waltraud</t>
  </si>
  <si>
    <t>BSE, Vogelgrippe &amp; Co. : »Lebensmittelskandale« und Konsumentenverhalten. Eine empirische Studie</t>
  </si>
  <si>
    <t>Philipps, Axel</t>
  </si>
  <si>
    <t>Gouvernementalität der Wissensgesellschaft : Politik und Subjektivität unter dem Regime des Wissens</t>
  </si>
  <si>
    <t>Junge, Torsten</t>
  </si>
  <si>
    <t>The Social Life of Anti-Terrorism Laws : The War on Terror and the Classifications of the »Dangerous Other«</t>
  </si>
  <si>
    <t>Grenzgänge zwischen den Künsten : Interventionen in Gattungshierarchien und Geschlechterkonstruktionen</t>
  </si>
  <si>
    <t>Dimensions of Locality : Muslim Saints, their Place and Space (Yearbook of the Sociology of Islam No. 8)</t>
  </si>
  <si>
    <t>Choreographie als kritische Praxis : Arbeitsweisen bei Xavier Le Roy und Thomas Lehmen</t>
  </si>
  <si>
    <t>Husemann, Pirkko</t>
  </si>
  <si>
    <t>Transkulturalität : Gender- und bildungshistorische Perspektiven</t>
  </si>
  <si>
    <t>Gippert, Wolfgang</t>
  </si>
  <si>
    <t>Computerexperimente : Zum Wandel der Wissenschaft im Zeitalter des Computers</t>
  </si>
  <si>
    <t>Gramelsberger, Gabriele</t>
  </si>
  <si>
    <t>Punkt, Punkt, Komma, Strich? : Geste, Gestalt und Bedeutung philosophischer Zeichensetzung</t>
  </si>
  <si>
    <t>Abbt, Christine</t>
  </si>
  <si>
    <t>Von »Neuer Unterschicht« und Prekariat : Gesellschaftliche Verhältnisse und Kategorien im Umbruch. Kritische Perspektiven auf aktuelle Debatten</t>
  </si>
  <si>
    <t>Altenhain, Claudio</t>
  </si>
  <si>
    <t>Meg Stuart : Bild in Bewegung und Choreographie</t>
  </si>
  <si>
    <t>Jochim, Annamira</t>
  </si>
  <si>
    <t>9/11 als kulturelle Zäsur : Repräsentationen des 11. September 2001 in kulturellen Diskursen, Literatur und visuellen Medien</t>
  </si>
  <si>
    <t>Poppe, Sandra</t>
  </si>
  <si>
    <t>Digital Tools in Media Studies : Analysis and Research. An Overview</t>
  </si>
  <si>
    <t>Ross, Michael</t>
  </si>
  <si>
    <t>Massenmedien und die Integration ethnischer Minderheiten in Deutschland : Band 2: Forschungsbefunde</t>
  </si>
  <si>
    <t>Media - Migration - Integration : European and North American Perspectives</t>
  </si>
  <si>
    <t>Europa backstage : Expertenwissen, Habitus und kulturelle Codes im Machtfeld der EU</t>
  </si>
  <si>
    <t>Poehls, Kerstin</t>
  </si>
  <si>
    <t>Das Fremde sehen : Der europäische Blick auf Japan in der künstlerischen Dokumentarfotografie</t>
  </si>
  <si>
    <t>Lockemann, Bettina</t>
  </si>
  <si>
    <t>Die deutschen Kanzler im Fernsehen : Theatrale Darstellungsstrategien von Politikern im Schlüsselmedium der Nachkriegsgeschichte</t>
  </si>
  <si>
    <t>Lutz-Scheurle, Christoph</t>
  </si>
  <si>
    <t>Wissenskultur Tanz : Historische und zeitgenössische Vermittlungsakte zwischen Praktiken und Diskursen</t>
  </si>
  <si>
    <t>Huschka, Sabine</t>
  </si>
  <si>
    <t>Schwarze deutsche Kolonialsoldaten : Mehrdeutige Repräsentationsräume und früher Kosmopolitismus in Afrika</t>
  </si>
  <si>
    <t>Michels, Stefanie</t>
  </si>
  <si>
    <t>Mehr(wert) queer - Queer Added (Value) : Visuelle Kultur, Kunst und Gender-Politiken - Visual Culture, Art, and Gender Politics</t>
  </si>
  <si>
    <t>Paul, Barbara</t>
  </si>
  <si>
    <t>Music in Motion : Diversity and Dialogue in Europe. Study in the frame of the »ExTra! Exchange Traditions« project</t>
  </si>
  <si>
    <t>Clausen, Bernd</t>
  </si>
  <si>
    <t>Fluchtlinien des Neorealismus : Der organlose Körper der italienischen Nachkriegszeit, 1943-1949</t>
  </si>
  <si>
    <t>Perinelli, Massimo</t>
  </si>
  <si>
    <t>Im Spiegel der Migrationen : Transkulturelles Erzählen und Sprachpolitik bei Emine Sevgi Özdamar</t>
  </si>
  <si>
    <t>Weber, Angela</t>
  </si>
  <si>
    <t>Die Verwaltung der Prostitution : Eine vergleichende Studie am Beispiel deutscher, polnischer und tschechischer Kommunen</t>
  </si>
  <si>
    <t>Pates, Rebecca</t>
  </si>
  <si>
    <t>Das Begehren des Gesetzes : Zur Psychoanalyse jugendlicher Straftäter</t>
  </si>
  <si>
    <t>Schwaiger, Bernhard</t>
  </si>
  <si>
    <t>Die neue Diskussion um Gemeinschaft : Ein Erklärungsansatz mit Blick auf die Reform des Wohlfahrtssystems</t>
  </si>
  <si>
    <t>Sandermann, Philipp</t>
  </si>
  <si>
    <t>Entfremdete Körper : Rassismus als Leichenschändung</t>
  </si>
  <si>
    <t>Hund, Wulf D.</t>
  </si>
  <si>
    <t>Das schöne Selbst : Zur Genealogie des modernen Subjekts zwischen Ethik und Ästhetik</t>
  </si>
  <si>
    <t>Elberfeld, Jens</t>
  </si>
  <si>
    <t>Leben im »neuen Europa« : Konsum, Lebensstile und Körpertechniken im Postsozialismus</t>
  </si>
  <si>
    <t>Vonderau, Asta</t>
  </si>
  <si>
    <t>Die Kunst der Schule : Über die Kultivierung der Schule durch die Künste</t>
  </si>
  <si>
    <t>Liebau, Eckart</t>
  </si>
  <si>
    <t>Das Bewusstsein der Krise : Marx, Nietzsche und die Emanzipation des Nichtidentischen in der politischen Theorie</t>
  </si>
  <si>
    <t>Wallat, Hendrik</t>
  </si>
  <si>
    <t>Weltereignisse und Massenmedien: Zur Theorie des Weltmedienereignisses : Studien zu John F. Kennedy, Lady Diana und der Titanic</t>
  </si>
  <si>
    <t>Morgner, Christian</t>
  </si>
  <si>
    <t>Islamunterricht - Islamischer Religionsunterricht - Islamkunde : Viele Titel - ein Fach?</t>
  </si>
  <si>
    <t>Mohr, Irka-Christin</t>
  </si>
  <si>
    <t>Körperhandeln und Körpererleben : Multidisziplinäre Perspektiven auf ein brisantes Feld</t>
  </si>
  <si>
    <t>(verst.), Anke Abraham</t>
  </si>
  <si>
    <t>Von Monstern und Menschen : Begegnungen der anderen Art in kulturwissenschaftlicher Perspektive</t>
  </si>
  <si>
    <t>Gebhard, Gunther</t>
  </si>
  <si>
    <t>Verordnete Entgrenzung : Kulturpolitik, Artist-in-Residence-Programme und die Praxis der Kunst</t>
  </si>
  <si>
    <t>Glauser, Andrea</t>
  </si>
  <si>
    <t>Buddhist Approaches to Human Rights : Dissonances and Resonances</t>
  </si>
  <si>
    <t>Meinert, Carmen</t>
  </si>
  <si>
    <t>Japanizität aus dem Geist der europäischen Romantik : Der interkulturelle Vermittler Mori Ogai und die Reorganisierung des japanischen ›Selbstbildes‹ in der Weltgesellschaft um 1900</t>
  </si>
  <si>
    <t>Die Prekarisierungsgesellschaft : Prekäre Proteste. Politik und Ökonomie im Zeichen der Prekarisierung</t>
  </si>
  <si>
    <t>Die Ordnung des Theaters : Eine Soziologie der Regie</t>
  </si>
  <si>
    <t>Hänzi, Denis</t>
  </si>
  <si>
    <t>Culture - Theory - Disability : Encounters between Disability Studies and Cultural Studies</t>
  </si>
  <si>
    <t>Waldschmidt, Anne</t>
  </si>
  <si>
    <t>Commons : Für eine neue Politik jenseits von Markt und Staat</t>
  </si>
  <si>
    <t>Das konvivialistische Manifest : Für eine neue Kunst des Zusammenlebens (herausgegeben von Frank Adloff und Claus Leggewie in Zusammenarbeit mit dem Käte Hamburger Kolleg / Centre for Global Cooperation Research Duisburg, übersetzt aus dem Französischen von Eva Moldenhauer)</t>
  </si>
  <si>
    <t>Les Convivialistes</t>
  </si>
  <si>
    <t>Fines Hominis? : Zur Geschichte der philosophischen Anthropologiekritik</t>
  </si>
  <si>
    <t>Rölli, Marc</t>
  </si>
  <si>
    <t>Körper als Archiv in Bewegung : Choreografie als historiografische Praxis</t>
  </si>
  <si>
    <t>Wehren, Julia</t>
  </si>
  <si>
    <t>Global Photographies : Memory - History - Archives</t>
  </si>
  <si>
    <t>Helff, Sissy</t>
  </si>
  <si>
    <t>Digitale Datenbanken : Eine Medientheorie im Zeitalter von Big Data</t>
  </si>
  <si>
    <t>Burkhardt, Marcus</t>
  </si>
  <si>
    <t>Culinary Turn : Aesthetic Practice of Cookery</t>
  </si>
  <si>
    <t>Meulen, Nicolaj van der</t>
  </si>
  <si>
    <t>Resistance : Subjects, Representations, Contexts</t>
  </si>
  <si>
    <t>Butler, Martin</t>
  </si>
  <si>
    <t>Umstrittene Körperteile : Eine Geschichte der Organspende in der Schweiz</t>
  </si>
  <si>
    <t>Hofmann, Simon</t>
  </si>
  <si>
    <t>Independent Theatre in Contemporary Europe : Structures - Aesthetics - Cultural Policy</t>
  </si>
  <si>
    <t>Brauneck, Manfred</t>
  </si>
  <si>
    <t>Die Welt der Commons : Muster gemeinsamen Handelns</t>
  </si>
  <si>
    <t>Haare hören - Strukturen wissen - Räume agieren : Berichte aus dem Interdisziplinären Labor Bild Wissen Gestaltung</t>
  </si>
  <si>
    <t>Roman Charity : Queer Lactations in Early Modern Visual Culture</t>
  </si>
  <si>
    <t>Sperling, Jutta Gisela</t>
  </si>
  <si>
    <t>Art Unlimited? : Dynamics and Paradoxes of a Globalizing Art World</t>
  </si>
  <si>
    <t>Praxishandbuch Online-Fundraising : Wie man im Internet und mit Social Media erfolgreich Spenden sammelt</t>
  </si>
  <si>
    <t>Lampe, Björn</t>
  </si>
  <si>
    <t>Intermedialer Style : Kulturelle Kontexte und Potenziale im literarischen Schreiben Jugendlicher</t>
  </si>
  <si>
    <t>Wurzenberger, Gerda</t>
  </si>
  <si>
    <t>Target Markets - International Terrorism Meets Global Capitalism in the Mall</t>
  </si>
  <si>
    <t>Mirgani, Suzi</t>
  </si>
  <si>
    <t>Performing the Digital : Performativity and Performance Studies in Digital Cultures</t>
  </si>
  <si>
    <t>Leeker, Martina</t>
  </si>
  <si>
    <t>Die Welt reparieren : Open Source und Selbermachen als postkapitalistische Praxis</t>
  </si>
  <si>
    <t>Baier, Andrea</t>
  </si>
  <si>
    <t>Migrationsbedingt behindert? : Familien im Hilfesystem. Eine intersektionale Perspektive</t>
  </si>
  <si>
    <t>Amirpur, Donja</t>
  </si>
  <si>
    <t>Intellectual Radicalism after 1989 : Crisis and Re-orientation in the British and the American Left</t>
  </si>
  <si>
    <t>Berg, Sebastian</t>
  </si>
  <si>
    <t>Digital Environments : Ethnographic Perspectives across Global Online and Offline Spaces</t>
  </si>
  <si>
    <t>Frömming, Urte Undine</t>
  </si>
  <si>
    <t>Jahrbuch für Kulturpolitik 2015/16 : Transformatorische Kulturpolitik</t>
  </si>
  <si>
    <t>Gesundheitswissen in der Schule : Schulhygiene in der deutschsprachigen Schweiz im 19. und 20. Jahrhundert</t>
  </si>
  <si>
    <t>Hofmann, Michèle</t>
  </si>
  <si>
    <t>Doing Space while Doing Gender - Vernetzungen von Raum und Geschlecht in Forschung und Politik</t>
  </si>
  <si>
    <t>Gottschalk, Aenne</t>
  </si>
  <si>
    <t>Regime der Anerkennung : Kämpfe um Wahrheit und Recht in der Aufarbeitung der argentinischen Militärdiktatur</t>
  </si>
  <si>
    <t>Hasgall, Alexander</t>
  </si>
  <si>
    <t>Kurz &amp; Knapp : Zur Mediengeschichte kleiner Formen vom 17. Jahrhundert bis zur Gegenwart</t>
  </si>
  <si>
    <t>Gamper, Michael</t>
  </si>
  <si>
    <t>Gewalt im Computerspiel : Facetten eines Vergnügens</t>
  </si>
  <si>
    <t>Bareither, Christoph</t>
  </si>
  <si>
    <t>Archäologische Untersuchungen. Über Temporalität und Dinge</t>
  </si>
  <si>
    <t>Stabrey, Undine</t>
  </si>
  <si>
    <t>Tanzpraxis in der Forschung - Tanz als Forschungspraxis : Choreographie, Improvisation, Exploration. Jahrbuch TanzForschung 2016</t>
  </si>
  <si>
    <t>The Nile: Natural and Cultural Landscape in Egypt</t>
  </si>
  <si>
    <t>Willems, Harco</t>
  </si>
  <si>
    <t>Verzeihen, Versöhnen, Vergessen : Soziologische Perspektiven</t>
  </si>
  <si>
    <t>Dinge sammeln, Wissen schaffen : Die Geschichte der naturhistorischen Sammlungen in Basel, 1735-1850</t>
  </si>
  <si>
    <t>Häner, Flavio</t>
  </si>
  <si>
    <t>Kriegserfahrungen erzählen : Geschichts- und literaturwissenschaftliche Perspektiven</t>
  </si>
  <si>
    <t>Trusting the Police : Comparisons across Eastern and Western Europe</t>
  </si>
  <si>
    <t>Staubli, Silvia</t>
  </si>
  <si>
    <t>Organisation im soziotechnischen Gemenge : Mediale Umschichtungen durch die Einführung von SAP</t>
  </si>
  <si>
    <t>Conrad, Lisa</t>
  </si>
  <si>
    <t>So schaffen wir das - eine Zivilgesellschaft im Aufbruch : 90 wegweisende Projekte mit Geflüchteten</t>
  </si>
  <si>
    <t>Schiffauer, Werner</t>
  </si>
  <si>
    <t>Der Gebrauch der Jugendgewaltprävention : Subjektivierungsformen eines Problemdiskurses</t>
  </si>
  <si>
    <t>Kuglstatter, Verena</t>
  </si>
  <si>
    <t>Anarchistische Uhrmacher in der Schweiz : Mikrohistorische Globalgeschichte zu den Anfängen der anarchistischen Bewegung im 19. Jahrhundert</t>
  </si>
  <si>
    <t>Eitel, Florian</t>
  </si>
  <si>
    <t>Shifting Baselines of Europe : New Perspectives beyond Neoliberalism and Nationalism</t>
  </si>
  <si>
    <t>European Alternatives</t>
  </si>
  <si>
    <t>Weiterbildungswiderstand : Eine kritische Theorie der Verweigerung</t>
  </si>
  <si>
    <t>Holzer, Daniela</t>
  </si>
  <si>
    <t>Behinderung als Praxis : Biographische Zugänge zu Lebensentwürfen von Menschen mit ›geistiger Behinderung‹</t>
  </si>
  <si>
    <t>Klänge in Bewegung : Spurensuchen in Choreografie und Performance. Jahrbuch TanzForschung 2017</t>
  </si>
  <si>
    <t>Karoß, Sabine</t>
  </si>
  <si>
    <t>Radio als Hör-Spiel-Raum : Medienreflexion - Störung - Künstlerische Intervention</t>
  </si>
  <si>
    <t>Wodianka, Bettina</t>
  </si>
  <si>
    <t>Arbeit transformieren! : Denkanstöße der Kommission »Arbeit der Zukunft«</t>
  </si>
  <si>
    <t>Jürgens, Kerstin</t>
  </si>
  <si>
    <t>Schreiben im Zwiegespräch / Writing as Dialogue : Praktiken des Mentorats und Lektorats in der zeitgenössischen Literatur / Practices of editors and mentors in contemporary literature</t>
  </si>
  <si>
    <t>Mohs, Johanne</t>
  </si>
  <si>
    <t>Provokante Kommunikation : Strategien im politischen Umgang mit transnationalem Terrorismus</t>
  </si>
  <si>
    <t>Racial Profiling : Struktureller Rassismus und antirassistischer Widerstand</t>
  </si>
  <si>
    <t>Baile, Mohamed Wa</t>
  </si>
  <si>
    <t>Religion, Spiritualität, Medizin : Alternative Religiosität und Palliative Care in der Schweiz</t>
  </si>
  <si>
    <t>Mezger, Mirjam</t>
  </si>
  <si>
    <t>Musikgeschichte ohne Markennamen : Soziologie und Ästhetik des Klavierquintetts</t>
  </si>
  <si>
    <t>Döhl, Frédéric</t>
  </si>
  <si>
    <t>Privatisierte Weiblichkeit : Genealogien und Einbettungsstrategien feministischer Kritik im postsozialistischen Polen</t>
  </si>
  <si>
    <t>Seiler, Nina</t>
  </si>
  <si>
    <t>Die Gesellschaft der Nachhaltigkeit : Umrisse eines Forschungsprogramms</t>
  </si>
  <si>
    <t>Neckel, Sighard</t>
  </si>
  <si>
    <t>Musikalische Praxis als Lebensform : Sinnfindung und Wirklichkeitserfahrung beim Musizieren</t>
  </si>
  <si>
    <t>Houben, Eva-Maria</t>
  </si>
  <si>
    <t>Verhaltensdesign : Technologische und ästhetische Programme der 1960er und 1970er Jahre</t>
  </si>
  <si>
    <t>Art and Economics in the City : New Cultural Maps</t>
  </si>
  <si>
    <t>Benincasa, Caterina</t>
  </si>
  <si>
    <t>Gewerkschaften im deutschen Einheitsprozess : Möglichkeiten und Grenzen in Zeiten der Transformation</t>
  </si>
  <si>
    <t>Sprache der Transzendenzerfahrungen : Die Briefsammlung der Parapsychologischen Beratungsstelle in Freiburg i.B.</t>
  </si>
  <si>
    <t>Hofer, Janina Maris</t>
  </si>
  <si>
    <t>Dinge - Nutzer - Netze: Von der Virtualisierung des Musealen zur Musealisierung des Virtuellen</t>
  </si>
  <si>
    <t>Niewerth, Dennis</t>
  </si>
  <si>
    <t>Finding, Inheriting or Borrowing? : The Construction and Transfer of Knowledge in Antiquity and the Middle Ages</t>
  </si>
  <si>
    <t>Althoff, Jochen</t>
  </si>
  <si>
    <t>Erfahrung und Engagement : Motive, Formen und Ziele der Globalisierungskritik</t>
  </si>
  <si>
    <t>Unrau, Christine</t>
  </si>
  <si>
    <t>»Lean« und »agil« im Büro : Neue Organisationskonzepte in der digitalen Transformation und ihre Folgen für die Angestellten</t>
  </si>
  <si>
    <t>Boes, Andreas</t>
  </si>
  <si>
    <t>Jahrbuch für Kulturpolitik 2017/18 : Welt. Kultur. Politik. - Kulturpolitik in Zeiten der Globalisierung</t>
  </si>
  <si>
    <t>Kulturpolitik in Thüringen : Praktiken - Governance - Netzwerke</t>
  </si>
  <si>
    <t>Flohr, Michael</t>
  </si>
  <si>
    <t>Land Grabbing and Home Country Development : Chinese and British Land Acquisitions in Comparative Perspective</t>
  </si>
  <si>
    <t>Goetz, Ariane</t>
  </si>
  <si>
    <t>Sozialraum Hochhaus : Nachbarschaft und Wohnalltag in Schweizer Großwohnbauten</t>
  </si>
  <si>
    <t>Althaus, Eveline</t>
  </si>
  <si>
    <t>Games and Rules : Game Mechanics for the »Magic Circle«</t>
  </si>
  <si>
    <t>Listen und Rankings : Über Taxonomien des Populären</t>
  </si>
  <si>
    <t>Adelmann, Ralf</t>
  </si>
  <si>
    <t>Un/Certain Futures - Rollen des Designs in gesellschaftlichen Transformationsprozessen</t>
  </si>
  <si>
    <t>Förster, Marius</t>
  </si>
  <si>
    <t>Fremde Galaxien und abstrakte Welten : Open Access in Astronomie und Mathematik. Soziologische Perspektiven</t>
  </si>
  <si>
    <t>Taubert, Niels</t>
  </si>
  <si>
    <t>Popular Music and Public Diplomacy : Transnational and Transdisciplinary Perspectives</t>
  </si>
  <si>
    <t>Dunkel, Mario</t>
  </si>
  <si>
    <t>Die Säkularisierung des Exodus : Zur Narration von politischer Emanzipation bei Sigmund Freud, Thomas Mann, Michael Walzer und Paolo Virno</t>
  </si>
  <si>
    <t>Mackowitz, Laurin</t>
  </si>
  <si>
    <t>Equality Governance via Policy Analysis? : The Implementation of Gender Impact Assessment in the European Union and Gender-based Analysis in Canada</t>
  </si>
  <si>
    <t>Sauer, Arn T.</t>
  </si>
  <si>
    <t>Interventionsalltag : Zu den Selbst- und Fremdverständnissen deutscher Intervenierender in Kriegs- und Krisengebieten</t>
  </si>
  <si>
    <t>Bake, Julika</t>
  </si>
  <si>
    <t>Totalitarismustheorien in der jungen BRD : Zur Kritik des Nationalsozialismus und des Sowjetkommunismus in der Zeitschrift »Der Monat«</t>
  </si>
  <si>
    <t>Gmehling, Joachim</t>
  </si>
  <si>
    <t>Autonome Systeme und Arbeit : Perspektiven, Herausforderungen und Grenzen der Künstlichen Intelligenz in der Arbeitswelt</t>
  </si>
  <si>
    <t>Hirsch-Kreinsen, Hartmut</t>
  </si>
  <si>
    <t>Kolonialität und Geschlecht im 20. Jahrhundert : Eine Geschichte der weißen Schweiz</t>
  </si>
  <si>
    <t>Games and Bereavement : How Video Games Represent Attachment, Loss, and Grief</t>
  </si>
  <si>
    <t>Harrer, Sabine</t>
  </si>
  <si>
    <t>Aging and Self-Realization : Cultural Narratives about Later Life</t>
  </si>
  <si>
    <t>Laceulle, Hanne</t>
  </si>
  <si>
    <t>Affekt Macht Netz : Auf dem Weg zu einer Sozialtheorie der Digitalen Gesellschaft</t>
  </si>
  <si>
    <t>Mühlhoff, Rainer</t>
  </si>
  <si>
    <t>Auf dem Weg zu einer Green Economy : Wie die sozialökologische Transformation gelingen kann</t>
  </si>
  <si>
    <t>Kahlenborn, Walter</t>
  </si>
  <si>
    <t>Power and its Logic : Mastering Politics</t>
  </si>
  <si>
    <t>Meier, Dominik</t>
  </si>
  <si>
    <t>Jeremy Bentham und Karl Marx : Zwei Perspektiven der Demokratie</t>
  </si>
  <si>
    <t>Ritschel, Gregor</t>
  </si>
  <si>
    <t>Filmische Zeugenschaft im Abseits : Kulturelle Dekolonisierungsprozesse und Dokumentarfilme zwischen Mosambik und Portugal</t>
  </si>
  <si>
    <t>Stock, Robert</t>
  </si>
  <si>
    <t>Dinge als Herausforderung : Kontexte, Umgangsweisen und Umwertungen von Objekten</t>
  </si>
  <si>
    <t>Hahn, Hans Peter</t>
  </si>
  <si>
    <t>Refeudalización : Desigualdad social, economía y cultura política en América Latina en el temprano siglo XXI</t>
  </si>
  <si>
    <t>Kaltmeier, Olaf</t>
  </si>
  <si>
    <t>Crisis del multiculturalismo en América Latina : Conflictividad social y respuestas críticas desde el pensamiento político indígena</t>
  </si>
  <si>
    <t>Silva, Claudia Zapata</t>
  </si>
  <si>
    <t>Las fronteras del neoextractivismo en América Latina : Conflictos socioambientales, giro ecoterritorial y nuevas dependencias</t>
  </si>
  <si>
    <t>Svampa, Maristella</t>
  </si>
  <si>
    <t>Because of You: Understanding Second-Person Storytelling</t>
  </si>
  <si>
    <t>Iliopoulou, Evgenia</t>
  </si>
  <si>
    <t>Size Matters - Understanding Monumentality Across Ancient Civilizations</t>
  </si>
  <si>
    <t>Buccellati, Federico</t>
  </si>
  <si>
    <t>Der Beruf : Eine Begriffsgeschichte</t>
  </si>
  <si>
    <t>Sailmann, Gerald</t>
  </si>
  <si>
    <t>Trazos de sangre y fuego : Bio-Necropolítica y juvenicidio en América Latina</t>
  </si>
  <si>
    <t>Arce, José Manuel Valenzuela</t>
  </si>
  <si>
    <t>Soziologien des Lebens : Überschreitung - Differenzierung - Kritik</t>
  </si>
  <si>
    <t>Delitz, Heike</t>
  </si>
  <si>
    <t>Inclusion through Exclusion : How Young Immigrant Israelis in the Nationalist Yisra'el Beitenu Party Read Israeli Citizenship</t>
  </si>
  <si>
    <t>Schmidt-Kleinert, Anja</t>
  </si>
  <si>
    <t>Die Ökonomisierung des Krankenhauses : Eine Studie über den Wandel pflegerischer Arbeit</t>
  </si>
  <si>
    <t>Mohan, Robin</t>
  </si>
  <si>
    <t>Was ist Public Interest Design? : Beiträge zur Gestaltung öffentlicher Interessen</t>
  </si>
  <si>
    <t>Medicine - Religion - Spirituality : Global Perspectives on Traditional, Complementary, and Alternative Healing</t>
  </si>
  <si>
    <t>Lüddeckens, Dorothea</t>
  </si>
  <si>
    <t>Populärkulturforschung : Eine Einführung</t>
  </si>
  <si>
    <t>Maase, Kaspar</t>
  </si>
  <si>
    <t>Über Projektionen: Weltkarten und Weltanschauungen : Von der Rekonstruktion zur Dekonstruktion, von der Konvention zur Alternative</t>
  </si>
  <si>
    <t>Stirnemann, Julia Mia</t>
  </si>
  <si>
    <t>Diagnose Angstgesellschaft? : Was wir wirklich über die Gefühlslage der Menschen wissen</t>
  </si>
  <si>
    <t>Lübke, Christiane</t>
  </si>
  <si>
    <t>Kritische Kreativität : Perspektiven auf Arbeit, Bildung, Lifestyle und Kunst</t>
  </si>
  <si>
    <t>Kannler, Kim</t>
  </si>
  <si>
    <t>Cultural Governance in Österreich : Eine interpretative Policy-Analyse zu kulturpolitischen Entscheidungsprozessen in Linz und Graz</t>
  </si>
  <si>
    <t>Schad, Anke Simone</t>
  </si>
  <si>
    <t>Kommunen im Klimawandel : Best Practices als Chance zur grünen Transformation?</t>
  </si>
  <si>
    <t>Nagorny-Koring, Nanja</t>
  </si>
  <si>
    <t>Experimentieren : Einblicke in Praktiken und Versuchsaufbauten zwischen Wissenschaft und Gestaltung</t>
  </si>
  <si>
    <t>Marguin, Séverine</t>
  </si>
  <si>
    <t>Stanislaw Brzozowski and the Migration of Ideas : Transnational Perspectives on the Intellectual Field in Twentieth-Century Poland and Beyond</t>
  </si>
  <si>
    <t>Pierre Rosanvallon's Political Thought : Interdisciplinary Approaches</t>
  </si>
  <si>
    <t>Digitalität und Privatheit : Kulturelle, politisch-rechtliche und soziale Perspektiven</t>
  </si>
  <si>
    <t>Aldenhoff, Christian</t>
  </si>
  <si>
    <t>Music Practices Across Borders : (E)Valuating Space, Diversity and Exchange</t>
  </si>
  <si>
    <t>Silva, Glaucia Peres da</t>
  </si>
  <si>
    <t>Post-Digital Cultures of the Far Right : Online Actions and Offline Consequences in Europe and the US</t>
  </si>
  <si>
    <t>Fielitz, Maik</t>
  </si>
  <si>
    <t>Miteinander für morgen : Für Arbeitszeiten, die zum Leben passen</t>
  </si>
  <si>
    <t>Hofmann, Jörg</t>
  </si>
  <si>
    <t>Die Polemik der Restauration : Metapolemische und ideengeschichtliche Betrachtungen zum Initialband der Restaurationsschrift Karl Ludwig von Hallers</t>
  </si>
  <si>
    <t>Kruska, Alexander</t>
  </si>
  <si>
    <t>Umstrittene Regierungsführung in Afghanistan : Kulturelle und politische Ordnungsvorstellungen der afghanischen Eliten</t>
  </si>
  <si>
    <t>Spanta, Frangis Dadfar</t>
  </si>
  <si>
    <t>An den Grenzen Europas und des Rechts : Interdisziplinäre Perspektiven auf Migration, Grenzen und Recht</t>
  </si>
  <si>
    <t>Pichl, Maximilian</t>
  </si>
  <si>
    <t>Raum und Würde : Interdisziplinäre Beiträge zum Verhältnis von Normativität und räumlicher Wirklichkeit. Städtebau - Transitorte - Hospize</t>
  </si>
  <si>
    <t>Prototyping Society - Zur vorauseilenden Technologisierung der Zukunft</t>
  </si>
  <si>
    <t>Dickel, Sascha</t>
  </si>
  <si>
    <t>Grenzen der Menschenrechte : Staatsbürgerschaft, Zugehörigkeit, Partizipation</t>
  </si>
  <si>
    <t>The Persistence of Technology : Histories of Repair, Reuse and Disposal</t>
  </si>
  <si>
    <t>Politische Kulturforschung reloaded : Neue Theorien, Methoden und Ergebnisse</t>
  </si>
  <si>
    <t>Bergem, Wolfgang</t>
  </si>
  <si>
    <t>Der Palmölboom in Indonesien : Zur Politischen Ökonomie einer umkämpften Ressource</t>
  </si>
  <si>
    <t>Brad, Alina</t>
  </si>
  <si>
    <t>The Politics of Affective Societies : An Interdisciplinary Essay</t>
  </si>
  <si>
    <t>Bens, Jonas</t>
  </si>
  <si>
    <t>Alltagskulturen in den Slums von Nairobi : Eine geographiedidaktische Studie zum kritisch-reflexiven Umgang mit Raumbildern</t>
  </si>
  <si>
    <t>Eberth, Andreas</t>
  </si>
  <si>
    <t>»Fremde, ferne Welt« : Mazedonienimaginationen in der deutschsprachigen Literatur seit dem 19. Jahrhundert</t>
  </si>
  <si>
    <t>Langer, Benjamin</t>
  </si>
  <si>
    <t>Interdisziplinäre Teams in inklusiven Schulen : Eine ethnografische Studie zu Fallbesprechungen in multiprofessionellen Gruppen</t>
  </si>
  <si>
    <t>Labhart, David</t>
  </si>
  <si>
    <t>Cities of Entanglements : Social Life in Johannesburg and Maputo Through Ethnographic Comparison</t>
  </si>
  <si>
    <t>Heer, Barbara</t>
  </si>
  <si>
    <t>Gewaltige Liebe : Praktiken und Handlungsorientierungen junger Frauen in gewaltgeprägten Paarbeziehungen</t>
  </si>
  <si>
    <t>Lohner, Eva Maria</t>
  </si>
  <si>
    <t>Refeudalisierung und Rechtsruck : Soziale Ungleichheit und politische Kultur in Lateinamerika</t>
  </si>
  <si>
    <t>Migration und radikale Demokratie : Politische Selbstorganisierung von migrantischen Jugendlichen in Deutschland und den USA</t>
  </si>
  <si>
    <t>Schwiertz, Helge</t>
  </si>
  <si>
    <t>Protest twittern : Eine medienlinguistische Untersuchung von Straßenprotesten</t>
  </si>
  <si>
    <t>Dang-Anh, Mark</t>
  </si>
  <si>
    <t>Epistemologien des Umgebens : Zur Geschichte, Ökologie und Biopolitik künstlicher environments</t>
  </si>
  <si>
    <t>Sprenger, Florian</t>
  </si>
  <si>
    <t>Postmigration : Art, Culture, and Politics in Contemporary Europe</t>
  </si>
  <si>
    <t>Gaonkar, Anna Meera</t>
  </si>
  <si>
    <t>Utopie und Politik : Potenziale kreativer Politikgestaltung</t>
  </si>
  <si>
    <t>Maahs, Ina-Maria</t>
  </si>
  <si>
    <t>Antifeminismen : ›Krisen‹-Diskurse mit gesellschaftsspaltendem Potential?</t>
  </si>
  <si>
    <t>Henninger, Annette</t>
  </si>
  <si>
    <t>Portraits of Automated Facial Recognition : On Machinic Ways of Seeing the Face</t>
  </si>
  <si>
    <t>Lee-Morrison, Lila</t>
  </si>
  <si>
    <t>Lieder, Geister und Tabus : Zum soziokulturellen Wandel der Musiktradition bei den Tao in Taiwan</t>
  </si>
  <si>
    <t>Lin, Wei-Ya</t>
  </si>
  <si>
    <t>Handbuch Poststrukturalistische Perspektiven auf soziale Bewegungen : Ansätze, Methoden und Forschungspraxis</t>
  </si>
  <si>
    <t>Vey, Judith</t>
  </si>
  <si>
    <t>Reichweitenangst : Batterien und Akkus als Medien des Digitalen Zeitalters</t>
  </si>
  <si>
    <t>Müggenburg, Jan</t>
  </si>
  <si>
    <t>Europa erneuern! : Eine realistische Vision für das 21. Jahrhundert</t>
  </si>
  <si>
    <t>Liebert, Ulrike</t>
  </si>
  <si>
    <t>Crisis civilizatoria : Experiencias de los gobiernos progresistas y debates en la izquierda latinoamericana</t>
  </si>
  <si>
    <t>Lander, Edgardo</t>
  </si>
  <si>
    <t>Crisis política en la Argentina : Memoria discursiva y componente emocional en el debate sobre la Reforma Previsional (diciembre de 2017)</t>
  </si>
  <si>
    <t>Arnoux, Elvira Narvaja de</t>
  </si>
  <si>
    <t>Ciudadanos reemplazados por algoritmos</t>
  </si>
  <si>
    <t>Canclini, Néstor García</t>
  </si>
  <si>
    <t>Conflictividades interculturales : Demandas indígenas como crisis fructíferas</t>
  </si>
  <si>
    <t>Briones, Claudia</t>
  </si>
  <si>
    <t>Alternativas al colapso socioambiental desde América Latina</t>
  </si>
  <si>
    <t>Romero, León Enrique Ávila</t>
  </si>
  <si>
    <t>Sorgsame Landwirtschaft : Resiliente Praktiken im Ökologischen Landbau</t>
  </si>
  <si>
    <t>Heistinger, Andrea</t>
  </si>
  <si>
    <t>Taking Sides : Theories, Practices, and Cultures of Participation in Dissent</t>
  </si>
  <si>
    <t>Bippus, Elke</t>
  </si>
  <si>
    <t>Staat, Sicherheit und Gewalt in Kamerun : Postkoloniale Perspektiven auf den Dekolonisierungsprozess unter französischer UN-Treuhandverwaltung</t>
  </si>
  <si>
    <t>Ketzmerick, Maria</t>
  </si>
  <si>
    <t>Nation Europa! : Warum aus der Europäischen Union die Europäische Nation werden muss</t>
  </si>
  <si>
    <t>Internet Health Report 2019</t>
  </si>
  <si>
    <t>Mozilla Foundation</t>
  </si>
  <si>
    <t>Rechtsradikalismus in Niedersachsen : Akteure, Entwicklungen und lokaler Umgang</t>
  </si>
  <si>
    <t>Vernetzte Islamfeindlichkeit : Die transatlantische Bewegung gegen »Islamisierung«. Events - Organisationen - Medien</t>
  </si>
  <si>
    <t>Producción horizontal del conocimiento</t>
  </si>
  <si>
    <t>Berkin, Sarah Corona</t>
  </si>
  <si>
    <t>Are We Comparing Yet? : On Standards, Justice, and Incomparability</t>
  </si>
  <si>
    <t>Saussy, Haun</t>
  </si>
  <si>
    <t>Im Namen der Emanzipation : Antimuslimischer Rassismus in Österreich</t>
  </si>
  <si>
    <t>Opratko, Benjamin</t>
  </si>
  <si>
    <t>Gemeinwohlorientiert und innovativ? : Die Förderung politischer Jugendbildung durch unternehmensnahe Stiftungen</t>
  </si>
  <si>
    <t>Hirsch, Anja</t>
  </si>
  <si>
    <t>Normativität und Wertneutralität : Grundlegung zu einer Wissenschaftssoziologie der Soziologie</t>
  </si>
  <si>
    <t>Mevissen, Natalie</t>
  </si>
  <si>
    <t>Die Fabrikation von Kreativität : Organisation und Kommunikation in der Mode</t>
  </si>
  <si>
    <t>Nyfeler, Judith</t>
  </si>
  <si>
    <t>Geplante Obsoleszenz : Hinter den Kulissen der Produktentwicklung</t>
  </si>
  <si>
    <t>Poppe, Erik</t>
  </si>
  <si>
    <t>Autonome Autos : Medien- und kulturwissenschaftliche Perspektiven auf die Zukunft der Mobilität</t>
  </si>
  <si>
    <t>»Hope dies - Action begins«: Stimmen einer neuen Bewegung</t>
  </si>
  <si>
    <t>Extinction Rebellion Hannover</t>
  </si>
  <si>
    <t>Rückzug als Widerstand : Dissidente Lebensformen in der globalen Politik</t>
  </si>
  <si>
    <t>Wallmeier, Philip</t>
  </si>
  <si>
    <t>Practices of Comparing : Towards a New Understanding of a Fundamental Human Practice</t>
  </si>
  <si>
    <t>Epple, Angelika</t>
  </si>
  <si>
    <t>Üble Dinge : Materialität und Fetischismus in der Prosa Paulus Hochgatterers</t>
  </si>
  <si>
    <t>Oberreither, Bernhard</t>
  </si>
  <si>
    <t>(In)visible Acts of Resistance in the Twilight of the Franco Regime : A Historical Narration</t>
  </si>
  <si>
    <t>Morcillo, Aurora G.</t>
  </si>
  <si>
    <t>A New Science for Future : Climate Impact Modeling and the Quest for Digital Openness</t>
  </si>
  <si>
    <t>Hirsbrunner, Simon David</t>
  </si>
  <si>
    <t>Das Konzertpublikum der Zukunft : Forschungsperspektiven, Praxisreflexionen und Verortungen im Spannungsfeld einer sich verändernden Gesellschaft</t>
  </si>
  <si>
    <t>Müller-Brozovic, Irena</t>
  </si>
  <si>
    <t>Entanglements of the Maghreb : Cultural and Political Aspects of a Region in Motion</t>
  </si>
  <si>
    <t>Dihstelhoff, Julius</t>
  </si>
  <si>
    <t>Epistemische Bilder : Zur medialen Onto-Epistemologie der Sichtbarmachung</t>
  </si>
  <si>
    <t>Scholz, Sebastian</t>
  </si>
  <si>
    <t>Mensch - Tier - Maschine : Sprachliche Praktiken an und jenseits der Außengrenze des Humanen</t>
  </si>
  <si>
    <t>Lind, Miriam</t>
  </si>
  <si>
    <t>Sinn und Sinne im Tanz : Perspektiven aus Kunst und Wissenschaft. Jahrbuch TanzForschung 2020</t>
  </si>
  <si>
    <t>Bischof, Margrit</t>
  </si>
  <si>
    <t>Die Grenzen der Rohstoffausbeutung : Umweltkonflikte und ökoterritoriale Wende in Lateinamerika</t>
  </si>
  <si>
    <t>Narratives and Comparisons : Adversaries or Allies in Understanding Science?</t>
  </si>
  <si>
    <t>Carrier, Martin</t>
  </si>
  <si>
    <t>Recht und Diversität : Lokale Konstellationen und globale Perspektiven von der Frühen Neuzeit bis zur Gegenwart</t>
  </si>
  <si>
    <t>Brauner, Christina</t>
  </si>
  <si>
    <t>Digital Methods in the Humanities : Challenges, Ideas, Perspectives</t>
  </si>
  <si>
    <t>Schwandt, Silke</t>
  </si>
  <si>
    <t>Paratextualizing Games : Investigations on the Paraphernalia and Peripheries of Play</t>
  </si>
  <si>
    <t>Beil, Benjamin</t>
  </si>
  <si>
    <t>Das Gedächtnis der Migrationsgesellschaft : DOMiD - Ein Verein schreibt Geschichte(n)</t>
  </si>
  <si>
    <t>Gogos, Manuel</t>
  </si>
  <si>
    <t>Understanding the Rights of Nature : A Critical Introduction</t>
  </si>
  <si>
    <t>Tanasescu, Mihnea</t>
  </si>
  <si>
    <t>Ethnomethodologie reloaded : Neue Werkinterpretationen und Theoriebeiträge zu Harold Garfinkels Programm</t>
  </si>
  <si>
    <t>Bergmann, Jörg R.</t>
  </si>
  <si>
    <t>Rezensiv - Online-Rezensionen und Kulturelle Bildung</t>
  </si>
  <si>
    <t>Graf, Guido</t>
  </si>
  <si>
    <t>Zones of Tradition - Places of Identity : Cities and Their Heritage</t>
  </si>
  <si>
    <t>Vinken, Gerhard</t>
  </si>
  <si>
    <t>In digitaler Gesellschaft : Neukonfigurationen zwischen Robotern, Algorithmen und Usern</t>
  </si>
  <si>
    <t>Gute Technik für ein gutes Leben im Alter? : Akzeptanz, Chancen und Herausforderungen altersgerechter Assistenzsysteme</t>
  </si>
  <si>
    <t>Frommeld, Debora</t>
  </si>
  <si>
    <t>Affektdramaturgien im Fußballsport : Die Entzauberung kollektiver Emotionen aus wissenssoziologischer Perspektive</t>
  </si>
  <si>
    <t>Wetzels, Michael</t>
  </si>
  <si>
    <t>External Communication in Social Media During Asymmetric Conflicts : A Theoretical Model and Empirical Case Study of the Conflict in Israel and Palestine</t>
  </si>
  <si>
    <t>Hirschberger, Bernd</t>
  </si>
  <si>
    <t>Demokratie im digitalen Kapitalismus : Wie Bürger*innen durch Algorithmen ersetzt werden</t>
  </si>
  <si>
    <t>Interspezies Lernen : Grundlinien interdisziplinärer Tierschutz- und Tierrechtsbildung</t>
  </si>
  <si>
    <t>Horstmann, Simone</t>
  </si>
  <si>
    <t>Die Geste der Kunst : Paradigmen einer Ästhetik</t>
  </si>
  <si>
    <t>Viglialoro, Luca</t>
  </si>
  <si>
    <t>Heiner Müllers KüstenLANDSCHAFTEN : Grenzen - Tod - Störung</t>
  </si>
  <si>
    <t>Nitschmann, Till</t>
  </si>
  <si>
    <t>Handbuch Transdisziplinäre Didaktik</t>
  </si>
  <si>
    <t>Schmohl, Tobias</t>
  </si>
  <si>
    <t>Freie Zeit : Eine politische Idee von der Antike bis zur Digitalisierung</t>
  </si>
  <si>
    <t>Pädophilie : Eine Diskursgeschichte</t>
  </si>
  <si>
    <t>Kämpf, Katrin M.</t>
  </si>
  <si>
    <t>Konfliktlandschaften des Südsudan : Fragmente eines Staates</t>
  </si>
  <si>
    <t>Processing Choreography : Thinking with William Forsythe's Duo</t>
  </si>
  <si>
    <t>Waterhouse, Elizabeth</t>
  </si>
  <si>
    <t>Grundsicherung weiterdenken</t>
  </si>
  <si>
    <t>Blank, Florian</t>
  </si>
  <si>
    <t>Systemvertrauen und Journalismus im Neoliberalismus</t>
  </si>
  <si>
    <t>Schmidt, Malte G.</t>
  </si>
  <si>
    <t>Entre el bosque y los árboles : Utopías Menores en El Salvador, Nicaragua y Uruguay</t>
  </si>
  <si>
    <t>Gould, Jeffrey</t>
  </si>
  <si>
    <t>La crisis de los regímenes progresistas y el legado del socialismo de Estado</t>
  </si>
  <si>
    <t>Meschkat, Klaus</t>
  </si>
  <si>
    <t>Pospopulares : Las culturas populares después de la hibridación</t>
  </si>
  <si>
    <t>Alabarces, Pablo</t>
  </si>
  <si>
    <t>Music and Democracy : Participatory Approaches</t>
  </si>
  <si>
    <t>Kölbl, Marko</t>
  </si>
  <si>
    <t>Der Wert der Digitalisierung : Gemeinwohl in der digitalen Welt</t>
  </si>
  <si>
    <t>Piallat, Chris</t>
  </si>
  <si>
    <t>Regieren durch Vorbeugen : Eine kritische Analyse der Burnout-Prävention nach Michel Foucault</t>
  </si>
  <si>
    <t>Zelinka, Jozef</t>
  </si>
  <si>
    <t>Zwischen Biomacht und Lebensmacht : Biopolitisches Denken bei Michel Foucault und Ernst Jünger</t>
  </si>
  <si>
    <t>Ahmed, Nasser</t>
  </si>
  <si>
    <t>Unlocking Luhmann : A Keyword Introduction to Systems Theory</t>
  </si>
  <si>
    <t>Baraldi, Claudio</t>
  </si>
  <si>
    <t>Queere Zeitlichkeiten in dokumentarischen Filmen : Untersuchungen an der Schnittstelle von Filmwissenschaft und Queer Studies</t>
  </si>
  <si>
    <t>Frankenberg, Natascha</t>
  </si>
  <si>
    <t>Wer sucht, kann gefunden werden : Problemgeschichten der Wissensorganisation von der Scholastik bis zur Suchmaschinenforschung</t>
  </si>
  <si>
    <t>Schrade, Robin</t>
  </si>
  <si>
    <t>Öffnung - Schließung - Übertritte : Körperbilder in der deutschsprachigen Gegenwartsliteratur</t>
  </si>
  <si>
    <t>Meinen, Iris</t>
  </si>
  <si>
    <t>Tuning up! The Innovative Potential of Musikvermittlung</t>
  </si>
  <si>
    <t>Chaker, Sarah</t>
  </si>
  <si>
    <t>Ohnmacht in der Demokratie : Das gebrochene Versprechen politischer Teilhabe</t>
  </si>
  <si>
    <t>Hochschule auf Abstand : Ein multiperspektivischer Zugang zur digitalen Lehre</t>
  </si>
  <si>
    <t>Neiske, Iris</t>
  </si>
  <si>
    <t>Claiming Home : Migration Biographies and Everyday Lives of Queer Migrant Women in Switzerland</t>
  </si>
  <si>
    <t>Büchler, Tina</t>
  </si>
  <si>
    <t>Legitime Sprachen, legitime Identitäten : Interaktionsanalysen im spätmodernen »Deutsch als Fremdsprache«-Klassenzimmer</t>
  </si>
  <si>
    <t>Rellstab, Daniel H.</t>
  </si>
  <si>
    <t>Auf den Spuren von Anton Wilhelm Amo : Philosophie und der Ruf nach Interkulturalität</t>
  </si>
  <si>
    <t>Knauß, Stefan</t>
  </si>
  <si>
    <t>Mediale Affektökonomie : Emotionen im Reality TV und deren Kommentierung bei Facebook</t>
  </si>
  <si>
    <t>Töpper, Claudia</t>
  </si>
  <si>
    <t>Regulating Transitions from School to Work : An Institutional Ethnography of Activation Work in Action</t>
  </si>
  <si>
    <t>Dahmen, Stephan</t>
  </si>
  <si>
    <t>Das Selbstmordattentat im Bild : Aktualität und Geschichte von Märtyrerzeugnissen</t>
  </si>
  <si>
    <t>Straub, Verena</t>
  </si>
  <si>
    <t>Kontinent der Zukunft : Friede für Afrika - nachhaltig und gerecht</t>
  </si>
  <si>
    <t>Pausch, Eberhard Martin</t>
  </si>
  <si>
    <t>Die Taufe des Leviathan : Protestantische Eliten und Politik in den USA und Lateinamerika</t>
  </si>
  <si>
    <t>Schäfer, Heinrich Wilhelm</t>
  </si>
  <si>
    <t>Post-Growth Geographies : Spatial Relations of Diverse and Alternative Economies</t>
  </si>
  <si>
    <t>Nichtstun als politische Praxis : Literarische Reflexionen von Untätigkeit in der Moderne</t>
  </si>
  <si>
    <t>Frischmuth, Agatha</t>
  </si>
  <si>
    <t>Musikgeschichte auf der Bühne - Performing Music History</t>
  </si>
  <si>
    <t>Langenbruch, Anna</t>
  </si>
  <si>
    <t>Invective Gaze - Das digitale Bild und die Kultur der Beschämung</t>
  </si>
  <si>
    <t>Heyne, Elisabeth</t>
  </si>
  <si>
    <t>50 Jahre Zukunft - FH Bielefeld 1971-2021 : 50 Years of Future - Bielefeld UAS 1971-2021</t>
  </si>
  <si>
    <t>Beaugrand, Andreas</t>
  </si>
  <si>
    <t>Revolution und defekte Transformation in Ägypten : Säkulare Parteien und soziale Bewegungen im »Arabischen Frühling«</t>
  </si>
  <si>
    <t>Mustafa, Imad</t>
  </si>
  <si>
    <t>Oswald Mathias Ungers and Rem Koolhaas : Recalibrating Architecture in the 1970s</t>
  </si>
  <si>
    <t>Schrijver, Lara</t>
  </si>
  <si>
    <t>Practicing Sovereignty : Digital Involvement in Times of Crises</t>
  </si>
  <si>
    <t>Herlo, Bianca</t>
  </si>
  <si>
    <t>(Dis)Obedience in Digital Societies : Perspectives on the Power of Algorithms and Data</t>
  </si>
  <si>
    <t>Quadflieg, Sven</t>
  </si>
  <si>
    <t>Denkmalpflege zwischen System und Gesellschaft : Vielfalt denkmalpflegerischer Prozesse in der DDR (1952-1975)</t>
  </si>
  <si>
    <t>Klemstein, Franziska</t>
  </si>
  <si>
    <t>Populismus und Mittelklasse : Die Kirchner-Regierungen zwischen 2003 und 2015 in Argentinien</t>
  </si>
  <si>
    <t>Boos, Tobias</t>
  </si>
  <si>
    <t>Digitalisierung ethnologischer Sammlungen : Perspektiven aus Theorie und Praxis</t>
  </si>
  <si>
    <t>Whistleblowing for Change : Exposing Systems of Power and Injustice</t>
  </si>
  <si>
    <t>Bazzichelli, Tatiana</t>
  </si>
  <si>
    <t>Chirale Welten : Zur Wissenschaftssoziologie des disziplinären Wandels der Chemie</t>
  </si>
  <si>
    <t>Lang, Sandra</t>
  </si>
  <si>
    <t>Digitale Materialität : Eine Ethnografie arbeitsteiliger Visual-Effects-Produktion</t>
  </si>
  <si>
    <t>Trischler, Ronja</t>
  </si>
  <si>
    <t>Comparative Practices : Literature, Language, and Culture in Britain's Long Eighteenth Century</t>
  </si>
  <si>
    <t>Böhm-Schnitker, Nadine</t>
  </si>
  <si>
    <t>Wenn Parlamente vors Volk ziehen : Ratsreferenden in der kommunalen Demokratie</t>
  </si>
  <si>
    <t>Brockmann, Nils Arne</t>
  </si>
  <si>
    <t>Weaving Solidarity : Decolonial Perspectives on Transnational Advocacy of and with the Mapuche</t>
  </si>
  <si>
    <t>Garbe, Sebastian</t>
  </si>
  <si>
    <t>What Will Be Already Exists : Temporalities of Cold War Archives in East-Central Europe and Beyond</t>
  </si>
  <si>
    <t>Kürti, Emese</t>
  </si>
  <si>
    <t>Bildung.Macht.Diversität. : Critical Diversity Literacy im Hochschulraum</t>
  </si>
  <si>
    <t>Stillstand in Bewegung? : Kollektives Lernen in sozialen Bewegungen</t>
  </si>
  <si>
    <t>Die Kunst der Einfachheit : Standortbestimmungen in der deutschen Gegenwartsliteratur. Judith Hermann - Peter Stamm - Robert Seethaler</t>
  </si>
  <si>
    <t>Wisotzki, Nadine</t>
  </si>
  <si>
    <t>Sexualität, Körperlichkeit und Intimität : Pädagogische Herausforderungen und professionelle Handlungsspielräume in der Schule</t>
  </si>
  <si>
    <t>Thuswald, Marion</t>
  </si>
  <si>
    <t>Praxistheorien und Religionswissenschaft : Neuere Theoriediskussionen in der empirischen Religionsforschung</t>
  </si>
  <si>
    <t>Limacher, Katharina</t>
  </si>
  <si>
    <t>Mathematiker als Rektoren der Technischen Hochschule Dresden : Höhere Lehrerbildung und Mathematische Gesellschaft im Wandel</t>
  </si>
  <si>
    <t>Cyborg werden : Möglichkeitshorizonte in feministischen Theorien und Science Fictions</t>
  </si>
  <si>
    <t>Fink, Dagmar</t>
  </si>
  <si>
    <t>Rassismus. Macht. Vergessen. : Von München über den NSU bis Hanau: Symbolische und materielle Kämpfe entlang rechten Terrors</t>
  </si>
  <si>
    <t>Nobrega, Onur Suzan</t>
  </si>
  <si>
    <t>Poetik des Kolibris : Lateinamerikanische Reiseprosa bei Gabriela Mistral, Mário de Andrade und Henri Michaux</t>
  </si>
  <si>
    <t>Jöhnk, Marília</t>
  </si>
  <si>
    <t>Working Misunderstandings : An Ethnography of Project Collaboration in a Multinational Corporation in India</t>
  </si>
  <si>
    <t>Mörike, Frauke</t>
  </si>
  <si>
    <t>Gott, Gaia und eine neue Gesellschaft : Theologie anders denken mit Bruno Latour</t>
  </si>
  <si>
    <t>Bogner, Daniel</t>
  </si>
  <si>
    <t>Der Fall Colonia Dignidad : Zum Umgang bundesdeutscher Außenpolitik und Justiz mit Menschenrechtsverletzungen 1961-2020</t>
  </si>
  <si>
    <t>Stehle, Jan</t>
  </si>
  <si>
    <t>Die Eigentumsfrage im 21. Jahrhundert : Ein rechtsphilosophischer Traktat über die Zukunft der Menschheit</t>
  </si>
  <si>
    <t>Pechmann, Alexander von</t>
  </si>
  <si>
    <t>Powerful Prose : How Textual Features Impact Readers</t>
  </si>
  <si>
    <t>Pöhls, R. L. Victoria</t>
  </si>
  <si>
    <t>Repensar la Revolución del Poncho : Activismo católico y políticas de representación en el espacio andino del Ecuador (1955-1988)</t>
  </si>
  <si>
    <t>Müller, Andrea Heidy</t>
  </si>
  <si>
    <t>Imagining Unequals, Imagining Equals : Concepts of Equality in History and Law</t>
  </si>
  <si>
    <t>Ikonische Kohärenz : Vom Erben des Kankurang in Senegal und Gambia</t>
  </si>
  <si>
    <t>Ba, Claudia</t>
  </si>
  <si>
    <t>Digital Capitalism and Distributive Forces</t>
  </si>
  <si>
    <t>Digitale Editionen im Spannungsfeld des Medienwechsels : Analysen und Lösungsstrategien aus Sicht der Informatik</t>
  </si>
  <si>
    <t>Oberhoff, Andreas</t>
  </si>
  <si>
    <t>Feminismus in der frühen Gewerkschaftsbewegung (1890-1914) : Die Strategien der Buchdruckerei-HilfsarbeiterInnen um Paula Thiede</t>
  </si>
  <si>
    <t>Fuhrmann, Uwe</t>
  </si>
  <si>
    <t>The Novel in the Spanish Silver Age : A Digital Analysis of Genre Using Machine Learning</t>
  </si>
  <si>
    <t>Tello, José Calvo</t>
  </si>
  <si>
    <t>Kinästhetische Interferenzen : Körpertechnik und Tanznotation im Entwurfsprozess architektonischer Räume</t>
  </si>
  <si>
    <t>Mohs, Dominik</t>
  </si>
  <si>
    <t>Verdrängter Antisemitismus : Eine empirisch fundierte Entwicklung des Begriffs der Abwehr als soziale Handlung</t>
  </si>
  <si>
    <t>Höttemann, Michael</t>
  </si>
  <si>
    <t>Umkämpfter Zugang zu Land : Land grabbing, Konflikte und die Rolle traditioneller Autoritäten in Ghana</t>
  </si>
  <si>
    <t>Kirst, Sarah</t>
  </si>
  <si>
    <t>Between Violence, Vulnerability, Resilience and Resistance : Arab Television News on the Experiences of Syrian Women during the Syrian Conflict</t>
  </si>
  <si>
    <t>Zein, Rand El</t>
  </si>
  <si>
    <t>Stardesigner oder Gestalter des Alltäglichen? : Designrezeption in der Aufmerksamkeitsökonomie</t>
  </si>
  <si>
    <t>Köck, Markus</t>
  </si>
  <si>
    <t>Paradoxa über Politik und Theater : Zur Bedeutung der Gegenmeinung bei Denis Diderot und Bertolt Brecht</t>
  </si>
  <si>
    <t>Schmieden, Susanne</t>
  </si>
  <si>
    <t>Verkehr im Kapitalismus</t>
  </si>
  <si>
    <t>Einführung in die Wissenschaften : Wissenschaftstypen - Deutungskämpfe - Interdisziplinäre Kooperation</t>
  </si>
  <si>
    <t>Kogge, Werner</t>
  </si>
  <si>
    <t>Solidarität als Praxis : Die Verhandlung von Diversität im Weltsozialforum</t>
  </si>
  <si>
    <t>Schall, Nikolas</t>
  </si>
  <si>
    <t>Sexuelle Bildung ermöglichen : Sprachlosigkeit, Lust, Verletzbarkeit und Emanzipation als Herausforderungen pädagogischer Professionalisierung</t>
  </si>
  <si>
    <t>Post-/koloniale Erinnerungsdiskurse in der Medienkultur : Der Genozid an den Ovaherero und Nama in der deutschsprachigen Presse von 2001 bis 2016</t>
  </si>
  <si>
    <t>Wolff, Kaya de</t>
  </si>
  <si>
    <t>Kritik und Post-Kritik : Zur deutschsprachigen Rezeption des »Manifests für eine Post-Kritische Pädagogik«</t>
  </si>
  <si>
    <t>Bittner, Martin</t>
  </si>
  <si>
    <t>Wie der Krieg ins Museum kam : Akteure der Erinnerung in Moskau, Minsk und Tscheljabinsk, 1941-1956</t>
  </si>
  <si>
    <t>Hasselmann, Anne E.</t>
  </si>
  <si>
    <t>Postdramatic Dramaturgies : Resonances between Asia and Europe</t>
  </si>
  <si>
    <t>Tuchmann, Kai</t>
  </si>
  <si>
    <t>Medien der Forensik</t>
  </si>
  <si>
    <t>Rothöhler, Simon</t>
  </si>
  <si>
    <t>Biohacking, Bodies and Do-It-Yourself : The Cultural Politics of Hacking Life Itself</t>
  </si>
  <si>
    <t>Grewe-Salfeld, Mirjam</t>
  </si>
  <si>
    <t>Amnesty International and Women's Rights : Feminist Strategies, Leadership Commitment and Internal Resistances</t>
  </si>
  <si>
    <t>Ganzfried, Miriam</t>
  </si>
  <si>
    <t>Migrationsliteratur aus der Schweiz : Beat Sterchi, Franco Supino, Aglaja Veteranyi, Melinda Nadj Abonji und Ilma Rakusa</t>
  </si>
  <si>
    <t>Maffli, Stéphane</t>
  </si>
  <si>
    <t>Hilfeleistungssysteme der Zukunft : Analysen des Deutschen Roten Kreuzes zur Aufrechterhaltung von Alltagssystemen für die Krisenbewältigung</t>
  </si>
  <si>
    <t>Max, Matthias</t>
  </si>
  <si>
    <t>Shifts in Mapping : Maps as a Tool of Knowledge</t>
  </si>
  <si>
    <t>Transnationaler Bergbau und lokale Politik : Politische Einflussnahme im Kontext des industriellen Goldbergbaus in Argentinien</t>
  </si>
  <si>
    <t>Bechtum, Alexandra</t>
  </si>
  <si>
    <t>Barrierefreiheit in der Wohnungspolitik : Länderpolitik im Vergleich</t>
  </si>
  <si>
    <t>Slavici, Melanie</t>
  </si>
  <si>
    <t>Van Gogh TV's »Piazza Virtuale« : The Invention of Social Media at documenta IX in 1992</t>
  </si>
  <si>
    <t>Baumgärtel, Tilman</t>
  </si>
  <si>
    <t>Global Contestations of Gender Rights</t>
  </si>
  <si>
    <t>Scheele, Alexandra</t>
  </si>
  <si>
    <t>Mit Geld spielt man nicht! : Glücksspiel und »Glücksspielsucht« im parlamentarischen Diskurs</t>
  </si>
  <si>
    <t>Möll, Gerd</t>
  </si>
  <si>
    <t>Living in Refuge : Ritualization and Religiosity in a Christian and a Muslim Palestinian Refugee Camp in Lebanon</t>
  </si>
  <si>
    <t>Schiocchet, Leonardo</t>
  </si>
  <si>
    <t>Das politische Subjekt des queeren Aktivismus : Diskurs- und Akteurskonstellationen queerer Politiken im deutschsprachigen Raum</t>
  </si>
  <si>
    <t>Vogler, Tanja</t>
  </si>
  <si>
    <t>Spectatoriale Geschlechterkonstruktionen : Geschlechtsspezifische Wissens- und Welterzeugung in den französisch- und spanischsprachigen Moralischen Wochenschriften des 18. Jahrhunderts</t>
  </si>
  <si>
    <t>Völkl, Yvonne</t>
  </si>
  <si>
    <t>Gegen die Öffentlichkeit : Alternative Nachrichtenmedien im deutschsprachigen Raum</t>
  </si>
  <si>
    <t>Schwaiger, Lisa</t>
  </si>
  <si>
    <t>Memes - Formen und Folgen eines Internetphänomens</t>
  </si>
  <si>
    <t>Nowotny, Joanna</t>
  </si>
  <si>
    <t>Affective Worldmaking : Narrative Counterpublics of Gender and Sexuality</t>
  </si>
  <si>
    <t>Schultermandl, Silvia</t>
  </si>
  <si>
    <t>Zwischen Internationalismus und Sachpolitik : Die trotzkistische Bewegung in der Schweiz, 1945-1968</t>
  </si>
  <si>
    <t>Federer, Lucas</t>
  </si>
  <si>
    <t>Die Materialität der Märkte : Qualität, Bewertung und Organisation im deutschen Obst- und Gemüsehandel</t>
  </si>
  <si>
    <t>Hering, Linda</t>
  </si>
  <si>
    <t>Pop goes literature - Musiker:innen und Autorschaft</t>
  </si>
  <si>
    <t>Jürgensen, Christoph</t>
  </si>
  <si>
    <t>Atlas der Datenkörper 1 : Körperbilder in Kunst, Design und Wissenschaft im Zeitalter digitaler Medien</t>
  </si>
  <si>
    <t>Bart, Marlene</t>
  </si>
  <si>
    <t>Die Colonia Dignidad zwischen Erinnern und Vergessen : Zur Erinnerungskultur in der ehemaligen Siedlungsgemeinschaft</t>
  </si>
  <si>
    <t>Dreckmann-Nielen, Meike</t>
  </si>
  <si>
    <t>Hizmet in Transitions : European Developments of a Turkish Muslim-Inspired Movement</t>
  </si>
  <si>
    <t>Weller, Paul</t>
  </si>
  <si>
    <t>Socio-Technical Innovation Bundles for Agri-Food Systems Transformation</t>
  </si>
  <si>
    <t>Barrett, Christopher B.</t>
  </si>
  <si>
    <t>Data Assimilation Fundamentals : A Unified Formulation of the State and Parameter Estimation Problem</t>
  </si>
  <si>
    <t>Evensen, Geir</t>
  </si>
  <si>
    <t>Covid-19 and Capitalism : Success and Failure of the Legal Methods for Dealing with a Pandemic</t>
  </si>
  <si>
    <t>Byttebier, Koen</t>
  </si>
  <si>
    <t>Contemporary Housing Struggles : A Structural Field of Contention Approach</t>
  </si>
  <si>
    <t>Florea, Ioana</t>
  </si>
  <si>
    <t>Condition Monitoring in Mobile Mining Machinery</t>
  </si>
  <si>
    <t>Jakobsson, Erik</t>
  </si>
  <si>
    <t>Multispectral Imaging of Hemoglobin Oxygen Saturation in Skin Microcirculation</t>
  </si>
  <si>
    <t>Ewerlöf, Maria</t>
  </si>
  <si>
    <t>Control Problems for Conservation Laws with Traffic Applications : Modeling, Analysis, and Numerical Methods</t>
  </si>
  <si>
    <t>Bayen, Alexandre</t>
  </si>
  <si>
    <t>Questioning the Entrepreneurial State : Status-Quo, Pitfalls, and the Need for Credible Innovation Policy</t>
  </si>
  <si>
    <t>Wennberg, Karl</t>
  </si>
  <si>
    <t>Publishing Sacrobosco's de Sphaera in Early Modern Europe : Modes of Material and Scientific Exchange</t>
  </si>
  <si>
    <t>Valleriani, Matteo</t>
  </si>
  <si>
    <t>Lives in Peace Research : The Oslo Stories</t>
  </si>
  <si>
    <t>Energy-Efficient and Semi-Automated Truck Platooning : Research and Evaluation</t>
  </si>
  <si>
    <t>Schirrer, Alexander</t>
  </si>
  <si>
    <t>Crisis Response in Higher Education : How the Pandemic Challenged University Operations and Organisation</t>
  </si>
  <si>
    <t>Benner, Mats</t>
  </si>
  <si>
    <t>Assessment of Energy-Efficient Building Details for Seismic Regions</t>
  </si>
  <si>
    <t>Azinović, Boris</t>
  </si>
  <si>
    <t>Schützende Bewältigung : Eine Grounded Theory Zu Diskriminierungserfahrungen Von Fachkräften in der Sozialen Arbeit</t>
  </si>
  <si>
    <t>Logeswaran, Araththy</t>
  </si>
  <si>
    <t>Die Beharrliche Mitte - Wenn Investive Statusarbeit Funktioniert</t>
  </si>
  <si>
    <t>Kumkar, Nils C.</t>
  </si>
  <si>
    <t>The Political Economy of Non-Western Migration Regimes : Central Asian Migrant Workers in Russia and Turkey</t>
  </si>
  <si>
    <t>Urinboyev, Rustamjon</t>
  </si>
  <si>
    <t>Technologies and Applications for Big Data Value</t>
  </si>
  <si>
    <t>Perioperative Strategies to Prevent Surgical Site Infection after Shoulder Surgery</t>
  </si>
  <si>
    <t>Scheer, Vendela</t>
  </si>
  <si>
    <t>Refractory High-Entropy Alloy and Nitride Thin Films</t>
  </si>
  <si>
    <t>Shu, Rui</t>
  </si>
  <si>
    <t>Computational Modelling of Organic Bioelectronic Devices and Materials</t>
  </si>
  <si>
    <t>Delavari, Najmeh</t>
  </si>
  <si>
    <t>Producing Food, Security, and the Geopolitical Subject</t>
  </si>
  <si>
    <t>Zhou, Jiayi</t>
  </si>
  <si>
    <t>Development of Functionalized Protein Materials</t>
  </si>
  <si>
    <t>Yuan, Yusheng</t>
  </si>
  <si>
    <t>Big Data and Artificial Intelligence in Digital Finance : Increasing Personalization and Trust in Digital Finance Using Big Data and AI</t>
  </si>
  <si>
    <t>Soldatos, John</t>
  </si>
  <si>
    <t>Romani Liberation : A Northern Perspective on Emancipatory Struggles and Progress</t>
  </si>
  <si>
    <t>Selling, Jan</t>
  </si>
  <si>
    <t>The Teleological and Kalam Cosmological Arguments Revisited</t>
  </si>
  <si>
    <t>Loke, Andrew</t>
  </si>
  <si>
    <t>Popularität und Relevanz in der Suche : Ein Experiment Zur Erforschung Von Relevanzkriterien in Akademischen Suchsystemen</t>
  </si>
  <si>
    <t>Behnert, Christiane</t>
  </si>
  <si>
    <t>Putting PIRLS to Use in Classrooms Across the Globe : Evidence-Based Contributions for Teaching Reading Comprehension in a Multilingual Context</t>
  </si>
  <si>
    <t>Bruggink, Marian</t>
  </si>
  <si>
    <t>Stressbewältigung Durch Pflegekräfte : Konzeptionelle und Empirische Analysen Vor Dem Hintergrund des Copings und der Resilienz</t>
  </si>
  <si>
    <t>Klingenberg, Ingo</t>
  </si>
  <si>
    <t>Female Genital Mutilation/Cutting in Children and Adolescents : Illustrated Guide to Diagnose, Assess, Inform and Report</t>
  </si>
  <si>
    <t>Abdulcadir, Jasmine</t>
  </si>
  <si>
    <t>Mobile Forensics - the File Format Handbook : Common File Formats and File Systems Used in Mobile Devices</t>
  </si>
  <si>
    <t>Hummert, Christian</t>
  </si>
  <si>
    <t>Care Poverty : When Older People's Needs Remain Unmet</t>
  </si>
  <si>
    <t>Kröger, Teppo</t>
  </si>
  <si>
    <t>Zur Soziologie der Software : Die Rolle Digitaler Technik Bei der Kontrolle Von Unsicherheiten</t>
  </si>
  <si>
    <t>Ametowobla, Dzifa</t>
  </si>
  <si>
    <t>Product Development Within Artificial Intelligence, Ethics and Legal Risk : Exemplary for Safe Autonomous Vehicles</t>
  </si>
  <si>
    <t>Winkle, Thomas</t>
  </si>
  <si>
    <t>Water-Filtered Infrared a (wIRA) Irradiation : From Research to Clinical Settings</t>
  </si>
  <si>
    <t>Vaupel, Peter</t>
  </si>
  <si>
    <t>Transnational Modern Languages : A Handbook</t>
  </si>
  <si>
    <t>Burns, Jennifer</t>
  </si>
  <si>
    <t>Proust and America : The Influence of American Art, Culture, and Literature on a la Recherché du Temps Perdu</t>
  </si>
  <si>
    <t>Murphy, Michael</t>
  </si>
  <si>
    <t>Remaking the Voyage : New Essays on Malcolm Lowry and 'in Ballast to the White Sea'</t>
  </si>
  <si>
    <t>Tookey, Helen</t>
  </si>
  <si>
    <t>Optimierung der Tragfähigkeit Von Zahnwellenverbindungen</t>
  </si>
  <si>
    <t>Wild, Jochen</t>
  </si>
  <si>
    <t>Jesuit and English Experiences at the Mughal Court, C. 1580-1615</t>
  </si>
  <si>
    <t>Melo, João Vicente</t>
  </si>
  <si>
    <t>Sustainable Energy Access for Communities : Rethinking the Energy Agenda for Cities</t>
  </si>
  <si>
    <t>Fall, Aminata</t>
  </si>
  <si>
    <t>Learning, Philosophy, and African Citizenship</t>
  </si>
  <si>
    <t>Holma, Katariina</t>
  </si>
  <si>
    <t>Fethullah Gülen's Teaching and Practice : Inheritance, Context, and Interactive Development</t>
  </si>
  <si>
    <t>Demographic and Family Transition in Southeast Asia</t>
  </si>
  <si>
    <t>Yeung, Wei-Jun Jean</t>
  </si>
  <si>
    <t>Anisotropic Mechanical Behaviours and Thin-Wall Effects of Additively Manufactured Austenitic Alloys</t>
  </si>
  <si>
    <t>Yu, Cheng-Han</t>
  </si>
  <si>
    <t>Crack Growth in Single Crystal Gas Turbine Blade Alloys under Service-Like Conditions</t>
  </si>
  <si>
    <t>Palmert, Frans</t>
  </si>
  <si>
    <t>Hybrid Materials for Wearable Electronics and Electrochemical Systems</t>
  </si>
  <si>
    <t>Say, Mehmet Girayhan</t>
  </si>
  <si>
    <t>Piezoelectric Electromechanical Transducers for Underwater Sound, Part II</t>
  </si>
  <si>
    <t>S. Aronov, Boris</t>
  </si>
  <si>
    <t>Piezoelectric Electromechanical Transducers for Underwater Sound, Part I</t>
  </si>
  <si>
    <t>Ausbildungsqualitäten - Andersartig, Aber Gleichwertig? : Ein Vergleich Konkurrierender Gesundheitsausbildungen in der Schweiz</t>
  </si>
  <si>
    <t>Esposito, Raffaella Simona</t>
  </si>
  <si>
    <t>Improvising Reconciliation : Confession after the Truth Commission</t>
  </si>
  <si>
    <t>Charlton, Ed</t>
  </si>
  <si>
    <t>The Unfinished Revolution : Haiti, Black Sovereignty and Power in the Nineteenth-Century Atlantic World</t>
  </si>
  <si>
    <t>Salt, Karen</t>
  </si>
  <si>
    <t>Computational Physiology : Simula Summer School 2021  Student Reports</t>
  </si>
  <si>
    <t>McCabe, Kimberly J.</t>
  </si>
  <si>
    <t>Anthropology, Film Industries, Modularity</t>
  </si>
  <si>
    <t>Rossoukh, Ramyar D.</t>
  </si>
  <si>
    <t>Methods for Faecal Sludge Analysis</t>
  </si>
  <si>
    <t>Velkushanova, Konstantina</t>
  </si>
  <si>
    <t>Métodos Experimentales para el Tratamiento de Aguas Residuales</t>
  </si>
  <si>
    <t>van Loosdrecht, Mark C. M.</t>
  </si>
  <si>
    <t>Environmental Technologies to Treat Sulfur Pollution : Principles and Engineering</t>
  </si>
  <si>
    <t>Environmental Technologies to Treat Selenium Pollution : Principles and Engineering</t>
  </si>
  <si>
    <t>Microbial Desalination Cells for Low Energy Drinking Water</t>
  </si>
  <si>
    <t>G. Salinas-Rodriguez, Sergio</t>
  </si>
  <si>
    <t>Implementing the Water-Energy-Food- Ecosystems Nexus and Achieving the Sustainable Development Goals</t>
  </si>
  <si>
    <t>Carmona-Moreno, Cesar</t>
  </si>
  <si>
    <t>Indicadores de Desempeño Para Servicios de Saneamiento</t>
  </si>
  <si>
    <t>Matos, Rafaela</t>
  </si>
  <si>
    <t>Melbourne 2030 : Planning Rhetoric Versus Urban Reality</t>
  </si>
  <si>
    <t>Birrell, Bob</t>
  </si>
  <si>
    <t>Fault Lines Exposed : Advantage and Disadvantage Across Australia's Settlement System</t>
  </si>
  <si>
    <t>Baum, Scott</t>
  </si>
  <si>
    <t>Orb and Sceptre : Studies in British Imperialism and Its Legacies, in Honour of Norman Etherington</t>
  </si>
  <si>
    <t>Limb, Peter</t>
  </si>
  <si>
    <t>Australians in Italy : Contemporary Lives and Impressions</t>
  </si>
  <si>
    <t>Kent, Bill</t>
  </si>
  <si>
    <t>Seize the Day: Exhibitions : Exhibitions, Australia and the World</t>
  </si>
  <si>
    <t>Darian-Smith, Kate</t>
  </si>
  <si>
    <t>Writing Histories : Imagination and Narration</t>
  </si>
  <si>
    <t>Curthoys, Ann</t>
  </si>
  <si>
    <t>Drawing the Line : Using Cartoons As Historical Evidence</t>
  </si>
  <si>
    <t>Australians in Britain : The Twentieth-Century Experience</t>
  </si>
  <si>
    <t>Bridge, Carl</t>
  </si>
  <si>
    <t>Complicated Currents : Media Flows, Soft Power and East Asia</t>
  </si>
  <si>
    <t>Black, Daniel</t>
  </si>
  <si>
    <t>From Ferranti to Faculty : Information Technology at Monash University, 1960 To 1990</t>
  </si>
  <si>
    <t>Rood, Sarah</t>
  </si>
  <si>
    <t>Still Learning : A 50 Year History of Monash University Peninsula Campus</t>
  </si>
  <si>
    <t>Woodhouse, Fay</t>
  </si>
  <si>
    <t>Jean Primrose Whyte : A Professional Biography</t>
  </si>
  <si>
    <t>Jenkin, Coralie Elsenore Janis</t>
  </si>
  <si>
    <t>A Pedagogy of Place : Outdoor Education for a Changing World</t>
  </si>
  <si>
    <t>Brown, Mike</t>
  </si>
  <si>
    <t>The Sexual Abuse of Children : Recognition and Redress</t>
  </si>
  <si>
    <t>Finnane, Mark</t>
  </si>
  <si>
    <t>First Blood : A Cultural Study of Menarche</t>
  </si>
  <si>
    <t>Dammery, Sally</t>
  </si>
  <si>
    <t>The Project As a Social System : Asia-Pacific Perspectives on Project Management</t>
  </si>
  <si>
    <t>Linger, Henry</t>
  </si>
  <si>
    <t>Verge 2011 : The Unknowable</t>
  </si>
  <si>
    <t>Macdonald, Anna</t>
  </si>
  <si>
    <t>A Home Away from Home? : International Students in Australian and South African Higher Education</t>
  </si>
  <si>
    <t>Nieuwenhuysen, John</t>
  </si>
  <si>
    <t>Old Myths and New Approaches : Interpreting Ancient Religious Sites in Southeast Asia</t>
  </si>
  <si>
    <t>Haendel, Alexandra</t>
  </si>
  <si>
    <t>Reading Robinson : Companion Essays to George Augustus Robinson's Friendly Mission</t>
  </si>
  <si>
    <t>Johnston, Anna</t>
  </si>
  <si>
    <t>Wanderings in India : Australian Perceptions</t>
  </si>
  <si>
    <t>Hosking, Rick</t>
  </si>
  <si>
    <t>Knowing Indonesia : Intersections of Self, Discipline and Nation</t>
  </si>
  <si>
    <t>Purdey, Jemma</t>
  </si>
  <si>
    <t>Verge 2012 : Inverse</t>
  </si>
  <si>
    <t>Clifford, Samantha</t>
  </si>
  <si>
    <t>Theories, Practices and Examples for Community and Social Informatics</t>
  </si>
  <si>
    <t>Denison, Tom</t>
  </si>
  <si>
    <t>The Market in Babies : Stories of Australian Adoption</t>
  </si>
  <si>
    <t>Cuthbert, Denise</t>
  </si>
  <si>
    <t>From a Broom Cupboard : 20 Years of Rural Health at Monash University</t>
  </si>
  <si>
    <t>Clough, Robert</t>
  </si>
  <si>
    <t>Kartini : The Complete Writings, 1898-1904</t>
  </si>
  <si>
    <t>Coté, Joost</t>
  </si>
  <si>
    <t>Breaking the Silence : Survivors Speak about 1965-66 Violence in Indonesia</t>
  </si>
  <si>
    <t>Lindsay, Jennifer</t>
  </si>
  <si>
    <t>Verge 2013 : Becoming</t>
  </si>
  <si>
    <t>Dawncy, Peter</t>
  </si>
  <si>
    <t>Witch-Hunt and Conspiracy : The 'Ninja Case' in East Java</t>
  </si>
  <si>
    <t>Herriman, Nicholas</t>
  </si>
  <si>
    <t>Digital Divas : Putting the Wow into Computing for Girls</t>
  </si>
  <si>
    <t>Craig, Annemieke</t>
  </si>
  <si>
    <t>Women, War and Islamic Radicalisation in Maryam Mahboob's Afghanistan</t>
  </si>
  <si>
    <t>Bezhan, Faridullah</t>
  </si>
  <si>
    <t>Small Screens : Essays on Contemporary Australian Television</t>
  </si>
  <si>
    <t>Arrow, Michelle</t>
  </si>
  <si>
    <t>Writing for Raksmey : A Story of Cambodia</t>
  </si>
  <si>
    <t>Healy, Joan</t>
  </si>
  <si>
    <t>How to Vote Progressive in Australia : Labor or Green?</t>
  </si>
  <si>
    <t>Altman, Dennis</t>
  </si>
  <si>
    <t>Making a Difference : Fifty Years of Indigenous Programs at Monash University, 1964-2014</t>
  </si>
  <si>
    <t>Kerin, Rani</t>
  </si>
  <si>
    <t>Beyond Gallipoli : New Perspectives on Anzac</t>
  </si>
  <si>
    <t>Frances, Raelene</t>
  </si>
  <si>
    <t>The Return of Print? : Contemporary Australian Publishing</t>
  </si>
  <si>
    <t>Australia's Northern Shield? : Papua New Guinea and the Defence of Australia Since 1880</t>
  </si>
  <si>
    <t>Hunt, Bruce</t>
  </si>
  <si>
    <t>Required Reading : Literature in Australian Schools Since 1945</t>
  </si>
  <si>
    <t>Dolin, Tim</t>
  </si>
  <si>
    <t>From Roadside to Recovery : The Story of the Victorian State Trauma System</t>
  </si>
  <si>
    <t>Bragge, Peter</t>
  </si>
  <si>
    <t>Recordkeeping Informatics for a Networked Age</t>
  </si>
  <si>
    <t>Evans, Joanne</t>
  </si>
  <si>
    <t>Jackson's Track Revisited : History, Remembrance and Reconciliation</t>
  </si>
  <si>
    <t>Landon, Carolyn</t>
  </si>
  <si>
    <t>Learning Discourses and the Discourses of Learning</t>
  </si>
  <si>
    <t>Marriott, Helen</t>
  </si>
  <si>
    <t>No Way to Go : Transport and Social Disadvantage in Australian Communities</t>
  </si>
  <si>
    <t>Currie, Graham</t>
  </si>
  <si>
    <t>Publishing Means Business : Australian Perspectives</t>
  </si>
  <si>
    <t>Day, Katherine</t>
  </si>
  <si>
    <t>What Matters? : Talking Value in Australian Culture</t>
  </si>
  <si>
    <t>Meyrick, Julian</t>
  </si>
  <si>
    <t>Leveraging Data Science for Global Health</t>
  </si>
  <si>
    <t>Celi, Leo Anthony</t>
  </si>
  <si>
    <t>Keeping the World's Environment under Review : An Intellectual History of the Global Environment Outlook</t>
  </si>
  <si>
    <t>Bakkes, Jan</t>
  </si>
  <si>
    <t>Growing in the Shadow of Antifascism : Remembering the Holocaust in State-Socialist Eastern Europe</t>
  </si>
  <si>
    <t>Bohus, Kata</t>
  </si>
  <si>
    <t>Free-Market Socialists : European Émigrés Who Made Capitalist Culture in America, 1918-1968</t>
  </si>
  <si>
    <t>Malherek, Joseph</t>
  </si>
  <si>
    <t>Under the Radar : Tracking Western Radio Listeners in the Soviet Union</t>
  </si>
  <si>
    <t>Parta, R. Eugene</t>
  </si>
  <si>
    <t>Policemen of the Tsar : Local Police in an Age of Upheaval</t>
  </si>
  <si>
    <t>Abbott, Robert J.</t>
  </si>
  <si>
    <t>The Triumph of Uncertainty : Science and Self in the Postmodern Age</t>
  </si>
  <si>
    <t>Tauber, Alfred I.</t>
  </si>
  <si>
    <t>Open Society Unresolved : The Contemporary Relevance of a Contested Idea</t>
  </si>
  <si>
    <t>La Vache Globale : La Génétique Dans l'industrialisation du Vivant</t>
  </si>
  <si>
    <t>Chavinskaia, Lidia</t>
  </si>
  <si>
    <t>Le Bien-être des Animaux D'élevage : Améliorer le Bien-être Animal</t>
  </si>
  <si>
    <t>Les Communs : Un Autre Récit Pour la Coopération Territoriale</t>
  </si>
  <si>
    <t>Aubert, Sigrid</t>
  </si>
  <si>
    <t>L'élevage des Grands Camélidés</t>
  </si>
  <si>
    <t>Faye, Bernard</t>
  </si>
  <si>
    <t>Concept and Design Developments in School Improvement Research : Longitudinal, Multilevel and Mixed Methods and Their Relevance for Educational Accountability</t>
  </si>
  <si>
    <t>Oude Groote Beverborg, Arnoud</t>
  </si>
  <si>
    <t>New Business Models for the Reuse of Secondary Resources from WEEEs : The FENIX Project</t>
  </si>
  <si>
    <t>Rosa, Paolo</t>
  </si>
  <si>
    <t>Migration Between Mexico and the United States : IMISCOE Regional Reader</t>
  </si>
  <si>
    <t>Escobar Latapí, Agustín</t>
  </si>
  <si>
    <t>Microsimulation Population Projections with SAS : A Reference Guide</t>
  </si>
  <si>
    <t>Marois, Guillaume</t>
  </si>
  <si>
    <t>Land Tenure Security and Sustainable Development</t>
  </si>
  <si>
    <t>Holland, Margaret B.</t>
  </si>
  <si>
    <t>Making Ammonia : Fritz Haber, Walther Nernst, and the Nature of Scientific Discovery</t>
  </si>
  <si>
    <t>Johnson, Benjamin</t>
  </si>
  <si>
    <t>The Palgrave Handbook of International Energy Economics</t>
  </si>
  <si>
    <t>Wildland Fire Smoke in the United States : A Scientific Assessment</t>
  </si>
  <si>
    <t>Peterson, David L.</t>
  </si>
  <si>
    <t>Wheat Improvement : Food Security in a Changing Climate</t>
  </si>
  <si>
    <t>Reynolds, Matthew P.</t>
  </si>
  <si>
    <t>Land Use Cover Datasets and Validation Tools : Validation Practices with QGIS</t>
  </si>
  <si>
    <t>García-Álvarez, David</t>
  </si>
  <si>
    <t>Causal Mechanisms in the Global Development of Social Policies</t>
  </si>
  <si>
    <t>Kuhlmann, Johanna</t>
  </si>
  <si>
    <t>From Decoding Turbulence to Unveiling the Fingerprint of Climate Change : Klaus Hasselmann--Nobel Prize Winner in Physics 2021</t>
  </si>
  <si>
    <t>ICity. Transformative Research for the Livable, Intelligent, and Sustainable City : Research Findings of University of Applied Sciences Stuttgart</t>
  </si>
  <si>
    <t>Coors, Volker</t>
  </si>
  <si>
    <t>Migration in Southern Africa : IMISCOE Regional Reader</t>
  </si>
  <si>
    <t>Rugunanan, Pragna</t>
  </si>
  <si>
    <t>Stable Isotopes in Tree Rings : Inferring Physiological, Climatic and Environmental Responses</t>
  </si>
  <si>
    <t>Siegwolf, Rolf T. W.</t>
  </si>
  <si>
    <t>Designing Data Spaces : The Ecosystem Approach to Competitive Advantage</t>
  </si>
  <si>
    <t>Perspectives on Public Policy in Societal-Environmental Crises : What the Future Needs from History</t>
  </si>
  <si>
    <t>Izdebski, Adam</t>
  </si>
  <si>
    <t>When Children Draw Gods : A Multicultural and Interdisciplinary Approach to Children's Representations of Supernatural Agents</t>
  </si>
  <si>
    <t>Brandt, Pierre-Yves</t>
  </si>
  <si>
    <t>Age-Inclusive ICT Innovation for Service Delivery in South Africa : A Developing Country Perspective</t>
  </si>
  <si>
    <t>Roos, Vera</t>
  </si>
  <si>
    <t>The Diversity of Worldviews among Young Adults : Contemporary (Non)Religiosity and Spirituality Through the Lens of an International Mixed Method Study</t>
  </si>
  <si>
    <t>Nynäs, Peter</t>
  </si>
  <si>
    <t>Emotions in Korean Philosophy and Religion : Confucian, Comparative, and Contemporary Perspectives</t>
  </si>
  <si>
    <t>Chung, Edward Y. J.</t>
  </si>
  <si>
    <t>Gesundheit - Konventionen - Digitalisierung : Eine Politische Ökonomie der (digitalen) Transformationsprozesse Von und Um Gesundheit</t>
  </si>
  <si>
    <t>Cappel, Valeska</t>
  </si>
  <si>
    <t>Wohnen und Gesundheit Im Alter</t>
  </si>
  <si>
    <t>Teti, Andrea</t>
  </si>
  <si>
    <t>Die Zukunft Von Privatheit und Selbstbestimmung : Analysen und Empfehlungen Zum Schutz der Grundrechte in der Digitalen Welt</t>
  </si>
  <si>
    <t>Diversity Nutzen und Annehmen : Praxisimplikationen Für das Diversity Management</t>
  </si>
  <si>
    <t>Genkova, Petia</t>
  </si>
  <si>
    <t>Variable Pitot-Triebwerkseinlässe Für Kommerzielle Überschallflugzeuge : Konzeptstudie Mittels Eines Entwicklungsansatzes Für Sichere Produkte</t>
  </si>
  <si>
    <t>Kazula, Stefan</t>
  </si>
  <si>
    <t>Wohlbefinden und Gesundheit Im Jugendalter : Theoretische Perspektiven, Empirische Befunde und Praxisansätze</t>
  </si>
  <si>
    <t>Heinen, Andreas</t>
  </si>
  <si>
    <t>Resilienz Durch Organisationsentwicklung : Forschung und Praxis</t>
  </si>
  <si>
    <t>,,Beyond the Wall : Game of Thrones Aus Interdisziplinärer Perspektive</t>
  </si>
  <si>
    <t>Gamper, Anna</t>
  </si>
  <si>
    <t>Standardisierte Inhaltsanalyse in der Kommunikationswissenschaft - Standardized Content Analysis in Communication Research : Ein Handbuch - a Handbook</t>
  </si>
  <si>
    <t>Oehmer-Pedrazzi, Franziska</t>
  </si>
  <si>
    <t>Alpine Landgesellschaften Zwischen Urbanisierung und Globalisierung</t>
  </si>
  <si>
    <t>Larcher, Manuela</t>
  </si>
  <si>
    <t>Religionstrends in der Schweiz : Religion, Spiritualität und Säkularität Im Gesellschaftlichen Wandel</t>
  </si>
  <si>
    <t>Stolz, Jörg</t>
  </si>
  <si>
    <t>Altern Als Zukunft - eine Studie der VolkswagenStiftung</t>
  </si>
  <si>
    <t>Lang, Frieder R.</t>
  </si>
  <si>
    <t>Ressourceneffizienz und Nachhaltigkeit : Sechs Planspiele Für Die Betriebliche Weiterbildung</t>
  </si>
  <si>
    <t>Anstätt, Kerstin</t>
  </si>
  <si>
    <t>Kommunikation und Bildverarbeitung in der Automation : Ausgewählte Beiträge der Jahreskolloquien KommA und BVAu 2020</t>
  </si>
  <si>
    <t>Nachhaltiges Personalmanagement Als Schlüsselfaktor Für Erfolgreiches Wirtschaften : Eine Linguistische Diskursanalyse Ausgewählter Unternehmenstexte und Printmedien</t>
  </si>
  <si>
    <t>Geursen, Elisabeth</t>
  </si>
  <si>
    <t>Locating Legal Certainty in Patent Licensing</t>
  </si>
  <si>
    <t>Forest Radioecology in Fukushima : Radiocesium Dynamics, Impact, and Future</t>
  </si>
  <si>
    <t>Hashimoto, Shoji</t>
  </si>
  <si>
    <t>Liberalism and Transformation : The Global Politics of Violence and Intervention</t>
  </si>
  <si>
    <t>Tatum, Dillon S.</t>
  </si>
  <si>
    <t>Authorship and Text-Making in Early China</t>
  </si>
  <si>
    <t>Zhang, Hanmo</t>
  </si>
  <si>
    <t>The Poetry of Cao Zhi</t>
  </si>
  <si>
    <t>Cutter, Robert Joe</t>
  </si>
  <si>
    <t>Public History and School : International Perspectives</t>
  </si>
  <si>
    <t>Stealing the Club from Hercules : On Imitation in Latin Poetry</t>
  </si>
  <si>
    <t>Conte, Gian Biagio</t>
  </si>
  <si>
    <t>Physics and Literature : Concepts - Transfer - Aestheticization</t>
  </si>
  <si>
    <t>Golda Meir : A Political Biography</t>
  </si>
  <si>
    <t>Summa Theologica Halensis: de Legibus et Praeceptis : Lateinischer Text Mit Übersetzung und Kommentar</t>
  </si>
  <si>
    <t>Halesius, Alexander</t>
  </si>
  <si>
    <t>Grundfragen der Lyrikologie 1 : Lyrisches Ich, Textsubjekt, Sprecher?</t>
  </si>
  <si>
    <t>Hillebrandt, Claudia</t>
  </si>
  <si>
    <t>Ikonen der Nationen : Heldendarstellungen Im Post-Sozialistischen Kroatien und Serbien</t>
  </si>
  <si>
    <t>Sabo, Klaudija</t>
  </si>
  <si>
    <t>Quantitative Ansätze in Den Literatur- und Geisteswissenschaften : Systematische und Historische Perspektiven</t>
  </si>
  <si>
    <t>Converts of Conviction : Faith and Scepticism in Nineteenth Century European Jewish Society</t>
  </si>
  <si>
    <t>Ruderman, David B.</t>
  </si>
  <si>
    <t>Indic Manuscript Cultures Through the Ages : Material, Textual, and Historical Investigations</t>
  </si>
  <si>
    <t>Vergiani, Vincenzo</t>
  </si>
  <si>
    <t>Hermann Kurz und Die 'Poesie der Wirklichkeit' : Studien Zum Frühwerk, Texte Aus Dem Nachlass</t>
  </si>
  <si>
    <t>Slunitschek, Matthias</t>
  </si>
  <si>
    <t>Medizinische Gutachten des 17. und 18. Jahrhunderts : Sprachhistorische Untersuchungen Zu Einer Textsortenklasse</t>
  </si>
  <si>
    <t>Lindner, Bettina</t>
  </si>
  <si>
    <t>Discursive Renovatio in Lope de Vega and Calderón : Studies on Spanish Baroque Drama</t>
  </si>
  <si>
    <t>Framing Intellectual and Lived Spaces in Early South Asia : Sources and Boundaries</t>
  </si>
  <si>
    <t>den Boer, Lucas</t>
  </si>
  <si>
    <t>Verschmelzung Von Präposition und Artikel : Eine Kontrastive Analyse Zum Deutschen und Italienischen</t>
  </si>
  <si>
    <t>Augustin, Hagen</t>
  </si>
  <si>
    <t>Yearbook of the Maimonides Centre for Advanced Studies. 2018</t>
  </si>
  <si>
    <t>The Civilising Offensive : Social and Educational Reform in 19th-Century Belgium</t>
  </si>
  <si>
    <t>De Spiegeleer, Christoph</t>
  </si>
  <si>
    <t>Europäer in der Levante - Zwischen Politik, Wissenschaft und Religion (19. -20. Jahrhundert) : Des Européens Au Levant - Entre Politique, Science et Religion (XIXe-XXe Siècles)</t>
  </si>
  <si>
    <t>Trimbur, Dominique</t>
  </si>
  <si>
    <t>Language, Nation, Race : Linguistic Reform in Meiji Japan (1868-1912)</t>
  </si>
  <si>
    <t>Ueda, Atsuko</t>
  </si>
  <si>
    <t>Multiculturalism in the British Commonwealth : Comparative Perspectives on Theory and Practice</t>
  </si>
  <si>
    <t>Ashcroft, Richard T.</t>
  </si>
  <si>
    <t>Renaissance Futurities : Science, Art, Invention</t>
  </si>
  <si>
    <t>Black, Charlene Villaseñor</t>
  </si>
  <si>
    <t>The Divo and the Duce : Promoting Film Stardom and Political Leadership in 1920s America</t>
  </si>
  <si>
    <t>Bertellini, Giorgio</t>
  </si>
  <si>
    <t>The Emergence of Modern Hinduism : Religion on the Margins of Colonialism</t>
  </si>
  <si>
    <t>Weiss, Richard S.</t>
  </si>
  <si>
    <t>Where Truth Lies : Digital Culture and Documentary Media After 9/11</t>
  </si>
  <si>
    <t>Fallon, Kris</t>
  </si>
  <si>
    <t>The Clarion of Syria : A Patriot's Call Against the Civil War Of 1860</t>
  </si>
  <si>
    <t>al-Bustani, Butrus</t>
  </si>
  <si>
    <t>Frame by Frame : A Materialist Aesthetics of Animated Cartoons</t>
  </si>
  <si>
    <t>Frank, Hannah</t>
  </si>
  <si>
    <t>What Is a Family? : Answers from Early Modern Japan</t>
  </si>
  <si>
    <t>Berry, Mary Elizabeth</t>
  </si>
  <si>
    <t>Music of a Thousand Years : A New History of Persian Musical Traditions</t>
  </si>
  <si>
    <t>Lucas, Ann E.</t>
  </si>
  <si>
    <t>Creating the Intellectual : Chinese Communism and the Rise of a Classification</t>
  </si>
  <si>
    <t>U, Eddy</t>
  </si>
  <si>
    <t>The Saburo Hasegawa Reader</t>
  </si>
  <si>
    <t>Johnson, Mark Dean</t>
  </si>
  <si>
    <t>Impersonations : The Artifice of Brahmin Masculinity in South Indian Dance</t>
  </si>
  <si>
    <t>Kamath, Harshita Mruthinti</t>
  </si>
  <si>
    <t>Witness to Marvels : Sufism and Literary Imagination</t>
  </si>
  <si>
    <t>Stewart, Tony K.</t>
  </si>
  <si>
    <t>The Social Question in the Twenty-First Century : A Global View</t>
  </si>
  <si>
    <t>The Persianate World : The Frontiers of a Eurasian Lingua Franca</t>
  </si>
  <si>
    <t>Green, Nile</t>
  </si>
  <si>
    <t>The Prison of Democracy : Race, Leavenworth, and the Culture of Law</t>
  </si>
  <si>
    <t>Benson, Sara M.</t>
  </si>
  <si>
    <t>Louder and Faster : Pain, Joy, and the Body Politic in Asian American Taiko</t>
  </si>
  <si>
    <t>Wong, Deborah</t>
  </si>
  <si>
    <t>Public Goods Provision in the Early Modern Economy : Comparative Perspectives from Japan, China, and Europe</t>
  </si>
  <si>
    <t>Tanimoto, Masayuki</t>
  </si>
  <si>
    <t>Chinese Poetry and Translation : Rights and Wrongs</t>
  </si>
  <si>
    <t>Crevel, Maghiel</t>
  </si>
  <si>
    <t>Marginal People in Deviant Places : Ethnography, Difference, and the Challenge to Scientific Racism</t>
  </si>
  <si>
    <t>Irvine, Janice M.</t>
  </si>
  <si>
    <t>Improvisation und Organisation : Muster zur Innovation sozialer Systeme</t>
  </si>
  <si>
    <t>Stark, Wolfgang</t>
  </si>
  <si>
    <t>How Megaprojects Are Damaging Nigeria and How to Fix It : A Practical Guide to Mastering Very Large Government Projects</t>
  </si>
  <si>
    <t>Ibrahim, Jimoh</t>
  </si>
  <si>
    <t>Cultural Representations of Gender Vulnerability and Resistance : A Mediterranean Approach to the Anglosphere</t>
  </si>
  <si>
    <t>Romero-Ruiz, Maria Isabel</t>
  </si>
  <si>
    <t>Regularized System Identification : Learning Dynamic Models from Data</t>
  </si>
  <si>
    <t>Pillonetto, Gianluigi</t>
  </si>
  <si>
    <t>A Comprehensive Dynamic Model of the Adipocyte</t>
  </si>
  <si>
    <t>Lövfors, William</t>
  </si>
  <si>
    <t>Bifurcations and Exchange of Stability with Density Dependence in a Coinfection Model and an Age-Structured Population Model</t>
  </si>
  <si>
    <t>Andersson, Jonathan</t>
  </si>
  <si>
    <t>A Vehicle for Change : Popular Representations of the Automobile in 20th-Century France</t>
  </si>
  <si>
    <t>Ó Cofaigh, Éamon</t>
  </si>
  <si>
    <t>Civil and Environmental Engineering for the Sustainable Development Goals : Emerging Issues</t>
  </si>
  <si>
    <t>Antonelli, Manuela</t>
  </si>
  <si>
    <t>Handbook of Research on the Global View of Open Access and Scholarly Communications</t>
  </si>
  <si>
    <t>IGI Global</t>
  </si>
  <si>
    <t>Alemneh, Daniel Gelaw</t>
  </si>
  <si>
    <t>Journeys Towards Intercultural Capability in Language Classrooms : Voices from Students, Teachers and Researchers</t>
  </si>
  <si>
    <t>East, Martin</t>
  </si>
  <si>
    <t>Organization Management - Dynamic Creative Team Coordination</t>
  </si>
  <si>
    <t>Georgiades, Stavros</t>
  </si>
  <si>
    <t>Diaspora As Translation and Decolonisation</t>
  </si>
  <si>
    <t>Demir, Ipek</t>
  </si>
  <si>
    <t>Haptics: Science, Technology, Applications : 13th International Conference on Human Haptic Sensing and Touch Enabled Computer Applications, EuroHaptics 2022, Hamburg, Germany, May 22-25, 2022, Proceedings</t>
  </si>
  <si>
    <t>Seifi, Hasti</t>
  </si>
  <si>
    <t>Flexible Inorganic and Hybrid Thermoelectric Thin Films Based on Layered Calcium Cobaltate</t>
  </si>
  <si>
    <t>Xin, Binbin</t>
  </si>
  <si>
    <t>New Perspectives in Critical Data Studies : The Ambivalences of Data Power</t>
  </si>
  <si>
    <t>Hepp, Andreas</t>
  </si>
  <si>
    <t>Citizen Participation in the Information Society : Comparing Participatory Channels in Urban Development</t>
  </si>
  <si>
    <t>Hovik, Sissel</t>
  </si>
  <si>
    <t>Ecocene Politics</t>
  </si>
  <si>
    <t>Tănăsescu, Mihnea</t>
  </si>
  <si>
    <t>A Common Good Approach to Development : Collective Dynamics of Development Processes</t>
  </si>
  <si>
    <t>Nebel, Mathias</t>
  </si>
  <si>
    <t>A Philosophy of Cover Songs</t>
  </si>
  <si>
    <t>Magnus, P. D.</t>
  </si>
  <si>
    <t>The Voice of the Century : The Culture of Italian Bel Canto in Luisa Tetrazzini's Recorded Interpretations</t>
  </si>
  <si>
    <t>Neuroökonomie : Eine Wissenschaftstheoretische Analyse</t>
  </si>
  <si>
    <t>Dreher, Lena</t>
  </si>
  <si>
    <t>Landscapes of Lifelong Learning Policies Across Europe : Comparative Case Studies</t>
  </si>
  <si>
    <t>Benasso, Sebastiano</t>
  </si>
  <si>
    <t>The Socially Responsible Organization : Lessons from COVID</t>
  </si>
  <si>
    <t>Health Crises and Media Discourses in Sub-Saharan Africa</t>
  </si>
  <si>
    <t>Dralega, Carol Azungi</t>
  </si>
  <si>
    <t>Exploring Islamic Social Work : Between Community and the Common Good</t>
  </si>
  <si>
    <t>Schmid, Hansjörg</t>
  </si>
  <si>
    <t>Digital Platform Regulation : Global Perspectives on Internet Governance</t>
  </si>
  <si>
    <t>Flew, Terry</t>
  </si>
  <si>
    <t>Molecules in Superfluid Helium Nanodroplets : Spectroscopy, Structure, and Dynamics</t>
  </si>
  <si>
    <t>Slenczka, Alkwin</t>
  </si>
  <si>
    <t>Smart Cities in Asia : Regulations, Problems, and Development</t>
  </si>
  <si>
    <t>Phan, Thanh</t>
  </si>
  <si>
    <t>The Pathway to Publishing: a Guide to Quantitative Writing in the Health Sciences</t>
  </si>
  <si>
    <t>Luby, Stephen</t>
  </si>
  <si>
    <t>Who Saved the Parthenon? : A New History of the Acropolis Before, During and after the Greek Revolution</t>
  </si>
  <si>
    <t>Performing Deception : Learning, Skill and the Art of Conjuring</t>
  </si>
  <si>
    <t>Rappert, Brian</t>
  </si>
  <si>
    <t>Socio-Spatial Theory in Nordic Geography : Intellectual Histories and Critical Interventions</t>
  </si>
  <si>
    <t>Jakobsen, Peter</t>
  </si>
  <si>
    <t>Integrating Science and Politics for Public Health</t>
  </si>
  <si>
    <t>Fafard, Patrick</t>
  </si>
  <si>
    <t>Educational Theory in the 21st Century : Science, Technology, Society and Education</t>
  </si>
  <si>
    <t>Alpaydın, Yusuf</t>
  </si>
  <si>
    <t>Education Policies in the 21st Century : Comparative Perspectives</t>
  </si>
  <si>
    <t>Akgün, Birol</t>
  </si>
  <si>
    <t>Printing and Prophecy : Prognostication and Media Change 1450-1550</t>
  </si>
  <si>
    <t>Green, Jonathan</t>
  </si>
  <si>
    <t>Poems of the Five Mountains : An Introduction to the Literature of the Zen Monasteries</t>
  </si>
  <si>
    <t>Ury, Marian</t>
  </si>
  <si>
    <t>Daily Life and Demographics in Ancient Japan</t>
  </si>
  <si>
    <t>Farris, William Wayne</t>
  </si>
  <si>
    <t>Economic Exchange and Social Interaction in Southeast Asia : Perspectives from Prehistory, History, and Ethnography</t>
  </si>
  <si>
    <t>Hutterer, Karl</t>
  </si>
  <si>
    <t>Law, Liberty, and the Pursuit of Terrorism</t>
  </si>
  <si>
    <t>Douglas, Roger</t>
  </si>
  <si>
    <t>Paninian Studies : Professor S. D. Joshi Felicitation Volume</t>
  </si>
  <si>
    <t>Deshpande, Madhav</t>
  </si>
  <si>
    <t>The Mertiyo Rathors of Merto, Rajasthan : Select Translations Bearing on the History of a Rajput Family, 1462-1660, Volumes 1-2</t>
  </si>
  <si>
    <t>Saran, Richard</t>
  </si>
  <si>
    <t>Double Jeopardy : A Critique of Seven yüan Courtroom Dramas</t>
  </si>
  <si>
    <t>Perng, Ching-hsi</t>
  </si>
  <si>
    <t>Guns, Democracy, and the Insurrectionist Idea</t>
  </si>
  <si>
    <t>Horwitz, Joshua</t>
  </si>
  <si>
    <t>A Tanizaki Feast : The International Symposium in Venice</t>
  </si>
  <si>
    <t>Boscaro, Adriana</t>
  </si>
  <si>
    <t>Swallows and Settlers : The Great Migration from North China to Manchuria</t>
  </si>
  <si>
    <t>Gottschang, Thomas</t>
  </si>
  <si>
    <t>Chinese Communist Materials at the Bureau of Investigation Archives, Taiwan</t>
  </si>
  <si>
    <t>Donovan, Peter</t>
  </si>
  <si>
    <t>Christian Converts and Social Protests in Meiji Japan</t>
  </si>
  <si>
    <t>Scheiner, Irwin</t>
  </si>
  <si>
    <t>Two Twelfth-Century Texts on Chinese Painting</t>
  </si>
  <si>
    <t>Maeda, Robert</t>
  </si>
  <si>
    <t>An Index to Reproductions of Paintings by Twentieth-Century Chinese Artists</t>
  </si>
  <si>
    <t>Laing, Ellen</t>
  </si>
  <si>
    <t>This Gaming Life : Travels in Three Cities</t>
  </si>
  <si>
    <t>Rossignol, Jim</t>
  </si>
  <si>
    <t>Law and Kingship in Thailand During the Reign of King Chulalongkorn</t>
  </si>
  <si>
    <t>Engel, David</t>
  </si>
  <si>
    <t>Anatomizing Civil War : Studies in Lucan's Epic Technique</t>
  </si>
  <si>
    <t>Dinter, Martin</t>
  </si>
  <si>
    <t>Ethnic Diversity and the Control of Natural Resources in Southeast Asia</t>
  </si>
  <si>
    <t>Rambo, A. Terry</t>
  </si>
  <si>
    <t>China's Allocation of Fixed Capital Investment, 1952-1957</t>
  </si>
  <si>
    <t>Pearl from the Dragon's Mouth : Evocation of Scene and Feeling in Chinese Poetry</t>
  </si>
  <si>
    <t>Sun, Cecile</t>
  </si>
  <si>
    <t>The Tale of Matsura : Fujiwara Teika's Experiment in Fiction</t>
  </si>
  <si>
    <t>Lammers, Wayne</t>
  </si>
  <si>
    <t>The Sian Incident : A Pivotal Point in Modern Chinese History</t>
  </si>
  <si>
    <t>Wu, Tien-wei</t>
  </si>
  <si>
    <t>Boundaries of the Text : Epic Performances in South and Southeast Asia</t>
  </si>
  <si>
    <t>Flueckiger, Joyce</t>
  </si>
  <si>
    <t>Partisan Gerrymandering and the Construction of American Democracy</t>
  </si>
  <si>
    <t>Engstrom, Erik J.</t>
  </si>
  <si>
    <t>The Black Arts Enterprise and the Production of African American Poetry</t>
  </si>
  <si>
    <t>Rambsy, Howard</t>
  </si>
  <si>
    <t>The Japanese Automotive Industry : Model and Challenge for the Future?</t>
  </si>
  <si>
    <t>Publishing Blackness : Textual Constructions of Race Since 1850</t>
  </si>
  <si>
    <t>Hutchinson, George</t>
  </si>
  <si>
    <t>The Black Musician and the White City : Race and Music in Chicago, 1900-1967</t>
  </si>
  <si>
    <t>Absher, Amy</t>
  </si>
  <si>
    <t>Industry at the Crossroads</t>
  </si>
  <si>
    <t>Explorations in Early Southeast Asian History : The Origins of Southeast Asian Statecraft</t>
  </si>
  <si>
    <t>Hall, Kenneth</t>
  </si>
  <si>
    <t>Social Organization in South China, 1911-1949 : The Case of Kuan Lineage in K'ai-P'ing County</t>
  </si>
  <si>
    <t>Woon, Yuen-fong</t>
  </si>
  <si>
    <t>Japan in the World, the World in Japan : Fifty Years of Japanese Studies at Michigan</t>
  </si>
  <si>
    <t>Studies, Center for Japanese</t>
  </si>
  <si>
    <t>The Kagero Diary : A Woman's Autobiographical Text from Tenth-Century Japan</t>
  </si>
  <si>
    <t>Arntzen, Sonja</t>
  </si>
  <si>
    <t>Veto Power : Institutional Design in the European Union</t>
  </si>
  <si>
    <t>Slapin, Jonathan</t>
  </si>
  <si>
    <t>Global Digital Cultures : Perspectives from South Asia</t>
  </si>
  <si>
    <t>Punathambekar, Aswin</t>
  </si>
  <si>
    <t>Salt and State : An Annotated Translation of the Songshi Salt Monopoly Treatise</t>
  </si>
  <si>
    <t>Chien, Cecilia</t>
  </si>
  <si>
    <t>Mammographies : The Cultural Discourses of Breast Cancer Narratives</t>
  </si>
  <si>
    <t>DeShazer, Mary K.</t>
  </si>
  <si>
    <t>Sukeroku's Double Identity : The Dramatic Structure of Edo Kabuki</t>
  </si>
  <si>
    <t>Thornbury, Barbara</t>
  </si>
  <si>
    <t>Introduction to Old Javanese Language and Literature : A Kawi Prose Anthology</t>
  </si>
  <si>
    <t>Zurbuchen, Mary S.</t>
  </si>
  <si>
    <t>A Bibliography of Chinese Language Materials on the People's Communes</t>
  </si>
  <si>
    <t>Ma, Wei-Yi</t>
  </si>
  <si>
    <t>Towards Gender Equality in Law : An Analysis of State Failures from a Global Perspective</t>
  </si>
  <si>
    <t>Guney, Gizem</t>
  </si>
  <si>
    <t>Struggle Country : The Rural Ideal in Twentieth Century Australia</t>
  </si>
  <si>
    <t>Brodie, Mark</t>
  </si>
  <si>
    <t>The Spirit of Secular Art : A History of the Sacramental Roots of Contemporary Artistic Values</t>
  </si>
  <si>
    <t>Nelson, Robert</t>
  </si>
  <si>
    <t>Alpine Industrial Landscapes : Towards a New Approach for Brownfield Redevelopment in Mountain Regions</t>
  </si>
  <si>
    <t>Modica, Marcello</t>
  </si>
  <si>
    <t>How to Build a Modern Tontine : Algorithms, Scripts and Tips</t>
  </si>
  <si>
    <t>Milevsky, Moshe Arye</t>
  </si>
  <si>
    <t>Resourceful Civil Society : Navigating the Changing Landscapes of Civil Society Organizations</t>
  </si>
  <si>
    <t>Kravchenko, Zhanna</t>
  </si>
  <si>
    <t>Women in STEM in Higher Education : Good Practices of Attraction, Access and Retainment in Higher Education</t>
  </si>
  <si>
    <t>García-Peñalvo, Francisco José</t>
  </si>
  <si>
    <t>Learning Analytics: a Metacognitive Tool to Engage Students : Research Study</t>
  </si>
  <si>
    <t>Volungevičienė, Airina</t>
  </si>
  <si>
    <t>Handwerk in Europa : Vom Spätmittelalter Bis Zur Frühen Neuzeit</t>
  </si>
  <si>
    <t>Schulz, Knut</t>
  </si>
  <si>
    <t>Die Indirekte Kommunikation in Frankreich : Reflexionen über Die Kunst des Impliziten in der Französischen Literatur</t>
  </si>
  <si>
    <t>Bernsen, Michael</t>
  </si>
  <si>
    <t>Renaissance- und Humanistenhandschriften</t>
  </si>
  <si>
    <t>Autenrieth, Johanne</t>
  </si>
  <si>
    <t>Die Predigt Im 19. Jahrhundert : Kritische Bemerkungen und Praktische Winke</t>
  </si>
  <si>
    <t>Drews, Paul</t>
  </si>
  <si>
    <t>Ostasienwissenschaften : Meyer-Struckmann-Preis 2016: Florian Coulmas</t>
  </si>
  <si>
    <t>Rosar, Ulrich</t>
  </si>
  <si>
    <t>Klassische Archäologie : Meyer-Struckmann-Preis 2014: Alain Schnapp</t>
  </si>
  <si>
    <t>Bleckmann, Bruno</t>
  </si>
  <si>
    <t>Bronze Age Lives</t>
  </si>
  <si>
    <t>Harding, Anthony</t>
  </si>
  <si>
    <t>Romantik Zwischen Zwei Welten : Potsdamer Vorlesungen Zu Den Hauptwerken der Romanischen Literaturen des 19. Jahrhunderts</t>
  </si>
  <si>
    <t>Family Instructions for the Yan Clan and Other Works by Yan Zhitui (531-590s)</t>
  </si>
  <si>
    <t>Tian, Xiaofei</t>
  </si>
  <si>
    <t>Neues Aus Wissenschaft und Lehre der Heinrich-Heine-Universität Düsseldorf 2010</t>
  </si>
  <si>
    <t>Piper, H. Michael</t>
  </si>
  <si>
    <t>Planning in Cold War Europe : Competition, Cooperation, Circulations (1950s-1970s)</t>
  </si>
  <si>
    <t>Christian, Michel</t>
  </si>
  <si>
    <t>Sterben dürfen Im Krankenhaus : Paradoxien Eines ärztlichen Postulats in der Behandlung Schwerstkranker</t>
  </si>
  <si>
    <t>Behzadi, Asita</t>
  </si>
  <si>
    <t>Differential Object Marking in Romance : The Third Wave</t>
  </si>
  <si>
    <t>Kabatek, Johannes</t>
  </si>
  <si>
    <t>Conceptual Joining : Wood Structures from Detail to Utopia / Holzstrukturen Im Experiment</t>
  </si>
  <si>
    <t>Poetic Critique : Encounters with Art and Literature</t>
  </si>
  <si>
    <t>Chaouli, Michel</t>
  </si>
  <si>
    <t>Word Knowledge and Word Usage : A Cross-Disciplinary Guide to the Mental Lexicon</t>
  </si>
  <si>
    <t>Pirrelli, Vito</t>
  </si>
  <si>
    <t>Frames Interdisziplinär: Modelle, Anwendungsfelder, Methoden</t>
  </si>
  <si>
    <t>Ziem, Alexander</t>
  </si>
  <si>
    <t>Prolegomena Zu Einer Geschichte des Begriffes Nachfolge Christi</t>
  </si>
  <si>
    <t>Bosse, Friedrich</t>
  </si>
  <si>
    <t>Erinnerungen an Rainer Maria Rilke</t>
  </si>
  <si>
    <t>Thurn und Taxis-Hohenlohe, Marie</t>
  </si>
  <si>
    <t>Medienwissenschaften : Meyer-Struckmann-Preis 2015: Winfried Schulz</t>
  </si>
  <si>
    <t>Digital Roots : Historicizing Media and Communication Concepts of the Digital Age</t>
  </si>
  <si>
    <t>Balbi, Gabriele</t>
  </si>
  <si>
    <t>Opfernarrative in Transnationalen Kontexten</t>
  </si>
  <si>
    <t>Binder, Eva</t>
  </si>
  <si>
    <t>Dialektik und Rhetorik Im Frühen und Hohen Mittelalter : Rezeption, Überlieferung und Gesellschaftliche Wirkung Antiker Gelehrsamkeit Vornehmlich Im 9. und 12. Jahrhundert</t>
  </si>
  <si>
    <t>Fried, Johannes</t>
  </si>
  <si>
    <t>Poetry and Truth</t>
  </si>
  <si>
    <t>Rasmussen, Dennis</t>
  </si>
  <si>
    <t>Regions in International Trade</t>
  </si>
  <si>
    <t>Umiński, Stanisław</t>
  </si>
  <si>
    <t>Shared Margins : An Ethnography with Writers in Alexandria after the Revolution</t>
  </si>
  <si>
    <t>Schielke, Samuli</t>
  </si>
  <si>
    <t>Apprendre la Langue Rwanda</t>
  </si>
  <si>
    <t>Overdulve, C. M.</t>
  </si>
  <si>
    <t>World Editors : Dynamics of Global Publishing and the Latin American Case Between the Archive and the Digital Age</t>
  </si>
  <si>
    <t>Perspectives and Research on Play for Children with Disabilities : Collected Papers</t>
  </si>
  <si>
    <t>Olympische Statuten</t>
  </si>
  <si>
    <t>Rauball, Reinhard</t>
  </si>
  <si>
    <t>Education Materialised : Reconstructing Teaching and Learning Contexts Through Manuscripts</t>
  </si>
  <si>
    <t>Brinkmann, Stefanie</t>
  </si>
  <si>
    <t>Black Boxes - Versiegelungskontexte Und Öffnungsversuche : Interdisziplinäre Perspektiven</t>
  </si>
  <si>
    <t>Geitz, Eckhard</t>
  </si>
  <si>
    <t>Das Sutta Nipâta : Eine Sammlung Von Gesprächen Welche Zu Den Kanonischen Büchern der Buddhisten Gehört</t>
  </si>
  <si>
    <t>Pfungst, Arthur</t>
  </si>
  <si>
    <t>Laien, Wissen, Sprache : Theoretische, Methodische und Domänenspezifische Perspektiven</t>
  </si>
  <si>
    <t>Hoffmeister, Toke</t>
  </si>
  <si>
    <t>Krieg und Geist : Das Mißtrauen in Den Geist Als Ursache Unseres Miltärischen Versagens Zu Beginn des Weltkrieges</t>
  </si>
  <si>
    <t>Wachter, Karl von</t>
  </si>
  <si>
    <t>Stories That Make History : The Experience and Memories of the Japanese Military &amp;rsaquo</t>
  </si>
  <si>
    <t>Genealogy, Archive, Image : Interpreting Dynastic History in Western India, C. 1090-2016</t>
  </si>
  <si>
    <t>Jhala, Jayasinhji</t>
  </si>
  <si>
    <t>Ausstellungskommunikation : Eine Linguistische Untersuchung Multimodaler Wissenskommunikation Im Raum</t>
  </si>
  <si>
    <t>Kesselheim, Wolfgang</t>
  </si>
  <si>
    <t>Confronting Antisemitism from Perspectives of Philosophy and Social Sciences</t>
  </si>
  <si>
    <t>Not at Your Service : Manifestos for Design</t>
  </si>
  <si>
    <t>Franke, Bjö</t>
  </si>
  <si>
    <t>Kirchenbild und Kircheneinheit : Der Dominikanische Tractatus Contra Graecos (1252) in Seinem Theologischen und Historischen Kontext</t>
  </si>
  <si>
    <t>Riedl, Andrea</t>
  </si>
  <si>
    <t>Vernakuläre Wissenschaftskommunikation : Beiträge Zur Entstehung und Frühgeschichte der Modernen Deutschen Wissenschaftssprachen</t>
  </si>
  <si>
    <t>Prinz, Michael</t>
  </si>
  <si>
    <t>Kritische Edition der Sahidischen Version des Johannesevangeliums : Text und Dokumentation</t>
  </si>
  <si>
    <t>Diaspora and Disaster : Japanese Outside Japan and the Triple Catastrophy of March 2011</t>
  </si>
  <si>
    <t>Niehaus, Andreas</t>
  </si>
  <si>
    <t>Aus Büchern Bücher Machen : Zur Produktion und Multiplikation Von Wissen in Frühneuzeitlichen Kompilationen</t>
  </si>
  <si>
    <t>Zweifel, Simone</t>
  </si>
  <si>
    <t>La Identidad Mexicana en Libros Escolares y Narrativas : Un Enfoque Crítico y Sociocognitivo</t>
  </si>
  <si>
    <t>García Agüero, Alba Nalleli</t>
  </si>
  <si>
    <t>Parlamentarismus in Europa : Deutschland, England und Frankreich Im Vergleich</t>
  </si>
  <si>
    <t>Recker, Marie-Luise</t>
  </si>
  <si>
    <t>Emma Goldman and the Russian Revolution : From Admiration to Frustration</t>
  </si>
  <si>
    <t>Bildungspraktiken der Aufklärung / Education Practices of the Enlightenment</t>
  </si>
  <si>
    <t>Pasewalck, Silke</t>
  </si>
  <si>
    <t>Theoretische Mechanik Starrer Systeme</t>
  </si>
  <si>
    <t>Ball, Robert Stawell</t>
  </si>
  <si>
    <t>Die Baader-Meinhof-Gruppe</t>
  </si>
  <si>
    <t>Essays on the Arts and Sciences</t>
  </si>
  <si>
    <t>Rechcigl, Miloslav</t>
  </si>
  <si>
    <t>Funktionsprüfungen in der Herz-Kreislaufdiagnostik</t>
  </si>
  <si>
    <t>Neumann, Helmut</t>
  </si>
  <si>
    <t>Die Chronica Pontificum Leodiensium : Eine Verlorene Quellenschrift des XIII. Jahrhunderts. Nebst Einer Probe der Wiederherstellung</t>
  </si>
  <si>
    <t>Franz, Friedrich</t>
  </si>
  <si>
    <t>Die Gewaltkriminalität in Den USA</t>
  </si>
  <si>
    <t>Middendorff, Wolf</t>
  </si>
  <si>
    <t>Die Kriminalpolitik Preußens Unter Friedrich Wilhelm I. und Friedrich II</t>
  </si>
  <si>
    <t>Schmidt, Eberhard</t>
  </si>
  <si>
    <t>Paracelsus : Historisch-Kritische Ausgabe</t>
  </si>
  <si>
    <t>Reading Cicero's Final Years : Receptions of the Post-Caesarian Works up to the Sixteenth Century - with Two Epilogues</t>
  </si>
  <si>
    <t>Pieper, Christoph</t>
  </si>
  <si>
    <t>Wütende Texte : Die Sprache Heißen Zorns in der Deutschen Literatur des 20. Jahrhunderts</t>
  </si>
  <si>
    <t>Stumm, Alfred</t>
  </si>
  <si>
    <t>Herakleios, der Schwitzende Kaiser : Die Oströmische Monarchie in der Ausgehenden Spätantike</t>
  </si>
  <si>
    <t>Viermann, Nadine</t>
  </si>
  <si>
    <t>Elemente der Funktionentheorie</t>
  </si>
  <si>
    <t>Knopp, Konrad</t>
  </si>
  <si>
    <t>Borderlines: Essays on Mapping and the Logic of Place</t>
  </si>
  <si>
    <t>Abeliovich, Ruthie</t>
  </si>
  <si>
    <t>Meaning and Grammar of Nouns and Verbs</t>
  </si>
  <si>
    <t>Humanidades Digitales : Miradas Hacia la Edad Media</t>
  </si>
  <si>
    <t>González, Déborah</t>
  </si>
  <si>
    <t>Das 20. Jahrhundert : Sprachgeschichte - Zeitgeschichte</t>
  </si>
  <si>
    <t>Kämper, Heidrun</t>
  </si>
  <si>
    <t>Zwischen Nationalen und Transnationalen Erinnerungsnarrativen in Zentraleuropa</t>
  </si>
  <si>
    <t>Dorn, Lena</t>
  </si>
  <si>
    <t>Constructions in Use</t>
  </si>
  <si>
    <t>Straße, Alexander auf der</t>
  </si>
  <si>
    <t>In Integrum Restitutio und Vindicatio Utilis Bei Eigentumsübertragungen Im Klassischen Römischen Recht</t>
  </si>
  <si>
    <t>Kupisch, Berthold</t>
  </si>
  <si>
    <t>The Maghrib in the Mashriq : Knowledge, Travel and Identity</t>
  </si>
  <si>
    <t>Fierro, Maribel</t>
  </si>
  <si>
    <t>Powers of Protection : The Buddhist Tradition of Spells in the Dhāraṇīsaṃgraha Collections</t>
  </si>
  <si>
    <t>Bridging Formal and Conceptual Semantics : Selected Papers of BRIDGE-14</t>
  </si>
  <si>
    <t>Balogh, Kata</t>
  </si>
  <si>
    <t>Paul on the Human Vocation : Reason Language in Romans and Ancient Philosophical Tradition</t>
  </si>
  <si>
    <t>Dürr, Simon</t>
  </si>
  <si>
    <t>Das Materielle Erbe des Steinkohlenbergbaus in Deutschland : Eine Handreichung Zur Dokumentation und Digitalisierung in Kleinen Sammlungen</t>
  </si>
  <si>
    <t>Siemer, Stefan</t>
  </si>
  <si>
    <t>Toscana Bilingue (1260 Ca. -1430 Ca. ) : Per una Storia Sociale Del Tradurre Medievale</t>
  </si>
  <si>
    <t>Bischetti, Sara</t>
  </si>
  <si>
    <t>Diskurserwerb in Familie, Peergroup und Unterricht : Passungen und Teilhabechancen</t>
  </si>
  <si>
    <t>Quasthoff, Uta</t>
  </si>
  <si>
    <t>Talking Dialogue : Eleven Episodes in the History of the Modern Interreligious Dialogue Movement</t>
  </si>
  <si>
    <t>Lehmann, Karsten</t>
  </si>
  <si>
    <t>Das Bild der Schweiz Bei Den Papstgesandten (1586-1654) : Die Ständige Nuntiatur in Luzern. Mit Einer Dokumentation Von Instruktionen und Berichten Aus Dem Geheimarchiv des Vatikans</t>
  </si>
  <si>
    <t>Galgano, Mario</t>
  </si>
  <si>
    <t>Grubengasanalyse Im Kohlenbergbau</t>
  </si>
  <si>
    <t>Kattwinkel, Robert</t>
  </si>
  <si>
    <t>Spanisch in Berlin : Einstellungen Zu Einer Globalen Sprache Als Lokale Fremdsprache</t>
  </si>
  <si>
    <t>Krämer, Philipp</t>
  </si>
  <si>
    <t>Deutsch Von Außen</t>
  </si>
  <si>
    <t>Stickel, Gerhard</t>
  </si>
  <si>
    <t>Theatre and Metatheatre : Definitions, Problems, Limits</t>
  </si>
  <si>
    <t>Paillard, Elodie</t>
  </si>
  <si>
    <t>Making Black History : Diasporic Fiction in the Moment of Afropolitanism</t>
  </si>
  <si>
    <t>Haensell, Dominique</t>
  </si>
  <si>
    <t>Confronting Antisemitism in Modern Media, the Legal and Political Worlds</t>
  </si>
  <si>
    <t>Das Tragische und Die Tragödie : Grundsätzliche Äußerungen Deutscher Denker und Dichter</t>
  </si>
  <si>
    <t>Hasenclever, Ludwig</t>
  </si>
  <si>
    <t>Beyond Exceptionalism : Traces of Slavery and the Slave Trade in Early Modern Germany, 1650-1850</t>
  </si>
  <si>
    <t>Mallinckrodt, Rebekka</t>
  </si>
  <si>
    <t>Les Américains de Paris</t>
  </si>
  <si>
    <t>Petit, Solange</t>
  </si>
  <si>
    <t>Von Den Historischen Avantgarden Bis Nach der Postmoderne : Potsdamer Vorlesungen Zu Den Hauptwerken der Romanischen Literaturen des 20. und 21. Jahrhunderts</t>
  </si>
  <si>
    <t>Definiteness in a Language Without Articles - a Study on Polish</t>
  </si>
  <si>
    <t>Czardybon, Adrian</t>
  </si>
  <si>
    <t>Neues und Fremdes Im Deutschen Wortschatz : Aktueller Lexikalischer Wandel</t>
  </si>
  <si>
    <t>Evaluation of Childrens' Play : Tools and Methods</t>
  </si>
  <si>
    <t>Pacific Climate Cultures : Living Climate Change in Oceania</t>
  </si>
  <si>
    <t>Crook, Tony</t>
  </si>
  <si>
    <t>Using Ostraca in the Ancient World : New Discoveries and Methodologies</t>
  </si>
  <si>
    <t>Caputo, Clementina</t>
  </si>
  <si>
    <t>Documentation and Argument in Early China : The Shàngshū 尚書 (Venerated Documents) and the Shū Traditions</t>
  </si>
  <si>
    <t>Meyer, Dirk</t>
  </si>
  <si>
    <t>Der Tosephtatraktat Berakot : Text, Übersetzung und Erklärung</t>
  </si>
  <si>
    <t>Holtzmann, Oscar</t>
  </si>
  <si>
    <t>Meaning, Frames, and Conceptual Representation</t>
  </si>
  <si>
    <t>Von der Makroökonomie Zum Kleinbauern : Die Wandlung der Idee Eines Gerechten Nord-Süd-Handels in der Schweizerischen Dritte-Welt-Bewegung (1964-1984)</t>
  </si>
  <si>
    <t>Franc, Andrea</t>
  </si>
  <si>
    <t>Sechs Jahre Aus Carl Burgfeld's Leben : Freundschaft, Liebe und Orden</t>
  </si>
  <si>
    <t>Demme, Herrmann Christoph Gottfried</t>
  </si>
  <si>
    <t>Orthopädie</t>
  </si>
  <si>
    <t>Neumeyer, Gerhard</t>
  </si>
  <si>
    <t>Amalthea Oder Museum der Kunstmythologie und Bildlichen Alterthumskunde</t>
  </si>
  <si>
    <t>BÖTTIGER, C. A.</t>
  </si>
  <si>
    <t>Dialogues Between Media</t>
  </si>
  <si>
    <t>Ferstl, Paul</t>
  </si>
  <si>
    <t>Friedrich Rosen : Orientalist Scholarship and International Politics</t>
  </si>
  <si>
    <t>Theilhaber, Amir</t>
  </si>
  <si>
    <t>Evaluating Interreligious Peacebuilding and Dialogue : Methods and Frameworks</t>
  </si>
  <si>
    <t>Abu-Nimer, Mohammed</t>
  </si>
  <si>
    <t>Die Untersuchung und Konstruktion Schwieriger Raumgebilde</t>
  </si>
  <si>
    <t>Holzmüller, Gustav</t>
  </si>
  <si>
    <t>Isaac Orobio : The Jewish Argument with Dogma and Doubt</t>
  </si>
  <si>
    <t>Prosa: Theorie, Exegese, Geschichte</t>
  </si>
  <si>
    <t>Land, Dorf, Kehilla : ,,Landjudentum in der Deutschen und Deutsch-Jüdischen Erzählliteratur Bis 1918</t>
  </si>
  <si>
    <t>Laufer, Almut</t>
  </si>
  <si>
    <t>Gallipoli 1915/16 : Britanniens Bitterste Niederlage</t>
  </si>
  <si>
    <t>Im Banne des Schachproblems : Ausgewählte Schachaufgaben und Studien</t>
  </si>
  <si>
    <t>Kraemer, A.</t>
  </si>
  <si>
    <t>Berliner Weltliteraturen : Internationale Literarische Beziehungen in Ost und West Nach Dem Mauerbau</t>
  </si>
  <si>
    <t>Valency over Time : Diachronic Perspectives on Valency Patterns and Valency Orientation</t>
  </si>
  <si>
    <t>Luraghi, Silvia</t>
  </si>
  <si>
    <t>Decor-Räume in Pompejanischen Stadthäusern : Ausstattungsstrategien und Rezeptionsformen</t>
  </si>
  <si>
    <t>Die Restitution des Ullstein-Verlags (1945-52) : Remigration, Ränke, Rückgabe: der Steinige Weg Einer Berliner Traditionsfirma</t>
  </si>
  <si>
    <t>Berndt, Juliane</t>
  </si>
  <si>
    <t>Meyer-Struckmann-Preis 2013: Sir Ian Kershaw : Deutsche Geschichte Im 20. Jahrhundert</t>
  </si>
  <si>
    <t>Experimentalphysik : Mechanik</t>
  </si>
  <si>
    <t>Fischer, Thomas</t>
  </si>
  <si>
    <t>International Conference on Psychology, Education and Mental Health : Education Innovation and Mental Health in Industrial Era 4. 0</t>
  </si>
  <si>
    <t>Maputra, Yantri</t>
  </si>
  <si>
    <t>Gefängnis Als Schwellenraum in der Byzantinischen Hagiographie : Eine Untersuchung Früh- und Mittelbyzantinischer Märtyrerakten</t>
  </si>
  <si>
    <t>Papavarnavas, Christodoulos</t>
  </si>
  <si>
    <t>Das 19. Jahrhundert : Sprachgeschichtliche Wurzeln des Heutigen Deutsch</t>
  </si>
  <si>
    <t>Wimmer, Rainer</t>
  </si>
  <si>
    <t>Das Zeitalter der Novelle in Hellas</t>
  </si>
  <si>
    <t>Erdmannsdörffer, Bernhard</t>
  </si>
  <si>
    <t>Sujetos Del Deseo : Una Exploración Sobre la Traducción Amateur en Los años Del Panamericanismo</t>
  </si>
  <si>
    <t>Marambio, Soledad</t>
  </si>
  <si>
    <t>Die Deutsche Reformation Zwischen Spätmittelalter und Früher Neuzeit</t>
  </si>
  <si>
    <t>Brady, Thomas A.</t>
  </si>
  <si>
    <t>Existentialismus In Österreich : Kultureller Transfer und Literarische Resonanz</t>
  </si>
  <si>
    <t>Werner, Juliane</t>
  </si>
  <si>
    <t>English Formal Satire : Elizabethan to Augustan</t>
  </si>
  <si>
    <t>Powers, Doris C.</t>
  </si>
  <si>
    <t>Was Vom Himmel Kommt : Stoffanalytische Zugänge Zu Antiken Mythen Aus Mesopotamien, Ägypten, Griechenland und Rom</t>
  </si>
  <si>
    <t>Gabriel, Gösta Ingvar</t>
  </si>
  <si>
    <t>Psychobiologie der Volksseuche Neurose</t>
  </si>
  <si>
    <t>Lungwitz, Hans</t>
  </si>
  <si>
    <t>Marriage Discourses : Historical and Literary Perspectives on Gender Inequality and Patriarchic Exploitation</t>
  </si>
  <si>
    <t>Mohammed, Jowan A.</t>
  </si>
  <si>
    <t>Grundzüge der Prosasyntax : Stilprägende Entwicklungen Vom Althochdeutschen Zum Neuhochdeutschen</t>
  </si>
  <si>
    <t>Betten, Anne</t>
  </si>
  <si>
    <t>Sprache - Sprachwissenschaft - Öffentlichkeit</t>
  </si>
  <si>
    <t>Jahrbuch der Heinrich-Heine-Universität Düsseldorf 2007/2008</t>
  </si>
  <si>
    <t>Rektor der Heinrich-Heine-Universität Düsseldorf, Rektor der</t>
  </si>
  <si>
    <t>Bildzensur : Löschung Technischer Bilder</t>
  </si>
  <si>
    <t>Müller-Helle, Katja</t>
  </si>
  <si>
    <t>Kasus Im Korpus : Zu Struktur und Geographie Oberdeutscher Kasusmorphologie</t>
  </si>
  <si>
    <t>Ellsäßer, Sophie</t>
  </si>
  <si>
    <t>Die Fragmentierte Stadt : Exklusion und Teilhabe Im öffentlichen Raum</t>
  </si>
  <si>
    <t>Jovis Verlag GmbH</t>
  </si>
  <si>
    <t>Krusche, Jürgen</t>
  </si>
  <si>
    <t>New Libraries in Old Buildings : Creative Reuse</t>
  </si>
  <si>
    <t>Hauke, Petra</t>
  </si>
  <si>
    <t>Language Activism : Imaginaries and Strategies of Minority Language Equality</t>
  </si>
  <si>
    <t>De Korne, Haley</t>
  </si>
  <si>
    <t>Schleiermacher's Briefe an Brinckmann : Briefwechsel Mit Seinen Freunden Von Seiner Uebersiedlung Nach Halle Bis Zu Seinem Tode. Denkschriften. Dialog über das Anständige. Recensionen</t>
  </si>
  <si>
    <t>Jonas, Ludwig</t>
  </si>
  <si>
    <t>Approaches in Tourism Modelling : Collected Papers</t>
  </si>
  <si>
    <t>Sergo, Zdravko</t>
  </si>
  <si>
    <t>Die Kaufkraft des Geldes : Ihre Bestimmung und Ihre Beziehung Zu Kredit, Zins und Krisen</t>
  </si>
  <si>
    <t>Fisher, Irving</t>
  </si>
  <si>
    <t>Landscape Impact Assessment in Planning Processes</t>
  </si>
  <si>
    <t>Belčáková, Ingrid</t>
  </si>
  <si>
    <t>Wieland und das Drama</t>
  </si>
  <si>
    <t>Marx, Emilie</t>
  </si>
  <si>
    <t>Traumaticismus und Infection : Nach Einer Rede, Gehalten in der Ersten Allgemeinen Sitzung des XIII. Internationalen Medicinischen Congresses Zu Paris Am 2. August 1900</t>
  </si>
  <si>
    <t>Virchow, Rudolf</t>
  </si>
  <si>
    <t>Diversity Dimensions in Mathematics and Language Learning : Perspectives on Culture, Education and Multilingualism</t>
  </si>
  <si>
    <t>Fritz, Annemarie</t>
  </si>
  <si>
    <t>A Lecture on Russian History</t>
  </si>
  <si>
    <t>Karpovich, Michael</t>
  </si>
  <si>
    <t>Creative Selection Between Emending and Forming Medieval Memory</t>
  </si>
  <si>
    <t>Der Zweite Weltkrieg in Postsozialistischen Gedenkmuseen : Geschichtspolitik Zwischen der ,Anrufung Europas' und Dem Fokus Auf ,unser' Leid</t>
  </si>
  <si>
    <t>Radonić, Ljiljana</t>
  </si>
  <si>
    <t>Einleitung in Die Philosophie : Eine Übung des Geistes</t>
  </si>
  <si>
    <t>Bense, Max</t>
  </si>
  <si>
    <t>Degree Gradation of Verbs</t>
  </si>
  <si>
    <t>Fleischhauer-Helfer, Jens</t>
  </si>
  <si>
    <t>Kriminologie : Standpunkte und Probleme</t>
  </si>
  <si>
    <t>Schneider, Hans Joachim</t>
  </si>
  <si>
    <t>Kaiserhaus, Staatsmänner und Politiker : Aufzeichnungen des K. K. Statthalters Erich Graf Kielmansegg</t>
  </si>
  <si>
    <t>Kielmansegg, Erich</t>
  </si>
  <si>
    <t>Dictionnaire Historique de L'adjectif-Adverbe</t>
  </si>
  <si>
    <t>Untersuchungen über Ulrich Fürtrers Dichtung Von Dem Gral und der Tafelrunde, 1 : Zur Metrik und Grammatik, Stil und Darstellungsweise</t>
  </si>
  <si>
    <t>Hamburger, Paul</t>
  </si>
  <si>
    <t>Bilddenken und Morphologie : Interdisziplinäre Studien über Form und Bilder Im Philosophischen und Wissenschaftlichen Denken</t>
  </si>
  <si>
    <t>Follesa, Laura</t>
  </si>
  <si>
    <t>Laienfrömmigkeit Im Späten Mittelalter : Formen, Funktionen, Politisch-Soziale Zusammenhänge</t>
  </si>
  <si>
    <t>Schreiner, Klaus</t>
  </si>
  <si>
    <t>Paragesellschaften : Imaginationen - Inszenierungen - Interaktionen in Den Gegenwartskulturen</t>
  </si>
  <si>
    <t>Hiergeist, Teresa</t>
  </si>
  <si>
    <t>Über Den Begriff der Ironie : Mit Ständiger Rücksicht Auf Sokrates</t>
  </si>
  <si>
    <t>Kierkegaard, Sören</t>
  </si>
  <si>
    <t>Kunstgeschichte und Kunsttheorie Im 19. Jahrhundert</t>
  </si>
  <si>
    <t>Bauer, Hermann</t>
  </si>
  <si>
    <t>Occult Roots of Religious Studies : On the Influence of Non-Hegemonic Currents on Academia Around 1900</t>
  </si>
  <si>
    <t>Mühlematter, Yves</t>
  </si>
  <si>
    <t>Laienpotential, Patientenaktivierung und Gesundheitsselbsthilfe</t>
  </si>
  <si>
    <t>Ferber, Christian von</t>
  </si>
  <si>
    <t>The Poetry of Meng Haoran</t>
  </si>
  <si>
    <t>Kroll, Paul W.</t>
  </si>
  <si>
    <t>The Politics of Service : US-Amerikanische Quäker und Internationale Humanitäre Hilfe 1917-1945</t>
  </si>
  <si>
    <t>Cultures and Traditions of Wordplay and Wordplay Research</t>
  </si>
  <si>
    <t>Anachronismus und Aktualisierung in Ovids Metamorphosen : Eine Ästhetik Uneigentlicher Zeitlichkeit</t>
  </si>
  <si>
    <t>Geitner, Philipp</t>
  </si>
  <si>
    <t>Leibniz</t>
  </si>
  <si>
    <t>Huber, Kurt</t>
  </si>
  <si>
    <t>Novalis, der Romantiker</t>
  </si>
  <si>
    <t>Heilborn, Ernst</t>
  </si>
  <si>
    <t>Political Economy of Environment. Problems of Method : Papers Presented at the Symposium Held at the Maisons des Sciences de l'Homme, Paris, 5-8 July 1971</t>
  </si>
  <si>
    <t>Beiträge Zur Geschichte Ägyptens Unter Dem Islam</t>
  </si>
  <si>
    <t>Becker, Carl H.</t>
  </si>
  <si>
    <t>Sprachen, Völker und Phantome : Sprach- und Kulturwissenschaftliche Studien Zur Ethnizität</t>
  </si>
  <si>
    <t>Mumm, Peter-Arnold</t>
  </si>
  <si>
    <t>Tracing and Documenting Nazi Victims Past and Present</t>
  </si>
  <si>
    <t>Arolsen Archives, Arolsen</t>
  </si>
  <si>
    <t>Crossing Experiences in Digital Epigraphy : From Practice to Discipline</t>
  </si>
  <si>
    <t>De Santis, Annamaria</t>
  </si>
  <si>
    <t>Kürschners Graphiker-Handbuch : Deutschland, Österreich, Schweiz. Graphiker, Illustratoren, Karikaturisten, Gebrauchsgraphiker, Typographen, Buchgestalter</t>
  </si>
  <si>
    <t>Kürschner, Joseph</t>
  </si>
  <si>
    <t>Der Kampf Um Chinas Kollektives Gedächtnis : Offizielle und Inoffizielle Narrative Zur Kampagne Gegen Rechtsabweichler (1957-58)</t>
  </si>
  <si>
    <t>Blanke, Anja</t>
  </si>
  <si>
    <t>Successes and Failures in EU Cohesion Policy: an Introduction to EU Cohesion Policy in Eastern, Central, and Southern Europe</t>
  </si>
  <si>
    <t>Musiałkowska, Ida</t>
  </si>
  <si>
    <t>Subjektive und Objektive Zeit : Aristoteles und Die Moderne Zeit-Theorie</t>
  </si>
  <si>
    <t>Detel, Wolfgang</t>
  </si>
  <si>
    <t>Aufklärung Zwischen Zwei Welten : Potsdamer Vorlesungen Zu Den Hauptwerken der Romanischen Literaturen des 18. Jahrhunderts</t>
  </si>
  <si>
    <t>Der Sinn der Humanistischen Bildung</t>
  </si>
  <si>
    <t>Boehm, Max Hildebert</t>
  </si>
  <si>
    <t>Regional Development. Experiences and Prospects in Eastern Europe</t>
  </si>
  <si>
    <t>Mihailovič, Kosta</t>
  </si>
  <si>
    <t>Rotes Licht : Jugoslawische Partisanenfotografie. Bilder Einer Sozialen Bewegung, 1941-1945</t>
  </si>
  <si>
    <t>Konjikusić, Davor</t>
  </si>
  <si>
    <t>Elemente der Antiken Erzähltheorie</t>
  </si>
  <si>
    <t>Feddern, Stefan</t>
  </si>
  <si>
    <t>Metaphysik des Mittelalters</t>
  </si>
  <si>
    <t>Dempf, Alois</t>
  </si>
  <si>
    <t>Cultural Sovereignty Beyond the Modern State : Space, Objects, and Media</t>
  </si>
  <si>
    <t>Feindt, Gregor</t>
  </si>
  <si>
    <t>Karl Gutzkow und der Demokratische Gedanke</t>
  </si>
  <si>
    <t>Maenner, Ludwig</t>
  </si>
  <si>
    <t>Häusliche Andachten</t>
  </si>
  <si>
    <t>Fink, Gottfried Wilhelm</t>
  </si>
  <si>
    <t>Vorlesungen über Die Naturlehre Für Leser, Denen Es an Mathematischen Vorkenntnissen Fehlt</t>
  </si>
  <si>
    <t>Brandes, H. W.</t>
  </si>
  <si>
    <t>The Role of Value in Karl Mannheims Sociology of Knowledge</t>
  </si>
  <si>
    <t>Rempel, F. Warren</t>
  </si>
  <si>
    <t>Sachtypologie der Landfahrzeuge : Ein Beitrag Zu Ihrer Entstehung, Entwicklung und Verbreitung</t>
  </si>
  <si>
    <t>Putschke, Wolfgang</t>
  </si>
  <si>
    <t>Perspectives énergétiques Dans l'industrie des Ciments</t>
  </si>
  <si>
    <t>Meyzenc, René</t>
  </si>
  <si>
    <t>Bücherkunde Zur Deutschen Geschichte</t>
  </si>
  <si>
    <t>Franz, Günther</t>
  </si>
  <si>
    <t>A Bridgehead to Africa : German Interest in the Ottoman Province of Tripoli (Libya) 1884-1918</t>
  </si>
  <si>
    <t>Alghafal, Suaad</t>
  </si>
  <si>
    <t>Gesellschaft und Bildende Kunst : Eine Studie Zur Wiederherstellung des Problems</t>
  </si>
  <si>
    <t>Rassem, Mohammed</t>
  </si>
  <si>
    <t>Was Macht Die Digitalisierung Mit Den Hochschulen? : Einwürfe und Provokationen</t>
  </si>
  <si>
    <t>Die Macht des Seelischen : Eine Organische Psychologie Als Lebensorientierung des Einzelnen und der Gesamtheit</t>
  </si>
  <si>
    <t>Braun, Hans</t>
  </si>
  <si>
    <t>Mittheilungen über Die in Oberschlesien Herrschende Typhus-Epidemie</t>
  </si>
  <si>
    <t>Das Rohrnetz Städtischer Wasserwerke : Berechnung, Bau, Betrieb</t>
  </si>
  <si>
    <t>Brinkhaus, H. P.</t>
  </si>
  <si>
    <t>Revolution und Gegenrevolution 1789-1830 : Zur Geistigen Auseinandersetzung in Frankreich und Deutschland</t>
  </si>
  <si>
    <t>Dufraisse, Roger</t>
  </si>
  <si>
    <t>Deutsche Gegenwartssprache : Tendenzen und Perspektiven</t>
  </si>
  <si>
    <t>Grundriss der Physik : Für Ingenieurschulen und Technische Schulen Sowie Zum Selbststudium</t>
  </si>
  <si>
    <t>Kleiber, Johann</t>
  </si>
  <si>
    <t>Die Strahlungsverhältnisse Im Beheizten Wohnraum : Mit Berechnung der Einstrahlzahlen in der Heiz-, Beleuchtungs- und Feuerungstechnik (Winkelverhältnisse Im Parallelepipedon)</t>
  </si>
  <si>
    <t>Kollmar, Albrecht</t>
  </si>
  <si>
    <t>Sozialismus und Volkswirtschaft in der Kriegsverfassung</t>
  </si>
  <si>
    <t>Bendixen, Friedrich</t>
  </si>
  <si>
    <t>Chronicles and the Priestly Literature of the Hebrew Bible</t>
  </si>
  <si>
    <t>Jeon, Jaeyoung</t>
  </si>
  <si>
    <t>De Pseudo-Luciani Amoribus</t>
  </si>
  <si>
    <t>Bloch, Robert</t>
  </si>
  <si>
    <t>Abū Manṣūr al-Thaʿālibī : Kitāb Khāṣṣ al-Khāṣṣ</t>
  </si>
  <si>
    <t>Orfali, Bilal</t>
  </si>
  <si>
    <t>Latin As the Language of Science and Learning</t>
  </si>
  <si>
    <t>Discourses on Nations and Identities</t>
  </si>
  <si>
    <t>Syrovy, Daniel</t>
  </si>
  <si>
    <t>Die Deutsche Staatskrise 1930 - 1933 : Handlungsspielräume und Alternativen</t>
  </si>
  <si>
    <t>Winkler, Heinrich August</t>
  </si>
  <si>
    <t>Czesław Miłosz in Postwar America</t>
  </si>
  <si>
    <t>Kołodziejczyk, Ewa</t>
  </si>
  <si>
    <t>Öffentliche Vernunft? : Die Wissenschaft in der Demokratie</t>
  </si>
  <si>
    <t>Hinsch, Wilfried</t>
  </si>
  <si>
    <t>Predigt Zur Jubelfeier der Reformazion und Union Gehalten in der Nikolai Kirche Zu Berlin Den 31. Oktober 1867</t>
  </si>
  <si>
    <t>Thomas, [Adolf]</t>
  </si>
  <si>
    <t>Forschungsfeld Sprachevolution : Methodik, Theorie und Empirie der Modernen Sprachursprungsforschung</t>
  </si>
  <si>
    <t>Breyl, Michael</t>
  </si>
  <si>
    <t>Une Doxographie Sunnite du IVe/Xe Siècle : Kitāb Al-Maqālāt d'Abū Al-ʿAbbās Al-Qalānisī</t>
  </si>
  <si>
    <t>Bou Akl, Ziad</t>
  </si>
  <si>
    <t>Pays Candidats Au Processus de Développement : Capacité d'absorption, Assistance Extérieure et Modèles de Croissance économique</t>
  </si>
  <si>
    <t>Nana-Sinkam, Samuel C.</t>
  </si>
  <si>
    <t>Kernwaffen und Auswärtige Politik : Schriften des Forschungsinstituts der Deutschen Gesellschaft E. V. Für Auswärtige Politik. Reihe Der Übersetzungen</t>
  </si>
  <si>
    <t>Kissinger, Henry A.</t>
  </si>
  <si>
    <t>The Lumumba Generation : African Bourgeoisie and Colonial Distinction in the Belgian Congo</t>
  </si>
  <si>
    <t>Tödt, Daniel</t>
  </si>
  <si>
    <t>Die Bedeutung des Protestantismus Für Die Entstehung der Modernen Welt</t>
  </si>
  <si>
    <t>Troeltsch, Ernst</t>
  </si>
  <si>
    <t>Jeux de Mots, Textes et Contextes</t>
  </si>
  <si>
    <t>Kognition und Reflexion: Zur Theorie Filmischen Denkens</t>
  </si>
  <si>
    <t>Libraries, Archives and Museums As Democratic Spaces in a Digital Age</t>
  </si>
  <si>
    <t>Audunson, Ragnar</t>
  </si>
  <si>
    <t>Cultural Perspectives on Aging : A Different Approach to Old Age and Aging</t>
  </si>
  <si>
    <t>Hülsen-Esch, Andrea</t>
  </si>
  <si>
    <t>Der Teufel und Seine Poietische Macht in Literarischen Texten Vom Mittelalter Zur Moderne</t>
  </si>
  <si>
    <t>Eming, Jutta</t>
  </si>
  <si>
    <t>Microwave Based Weed Control and Soil Treatment</t>
  </si>
  <si>
    <t>Loans in Colonial and Modern Nahuatl : A Contextual Dictionary</t>
  </si>
  <si>
    <t>Brylak, Agnieszka</t>
  </si>
  <si>
    <t>Die Moderne Handschriftendeutung</t>
  </si>
  <si>
    <t>Pokorny, R. Raphael</t>
  </si>
  <si>
    <t>Divination on Stage : Prophetic Body Signs in Early Modern Theatre in Spain and Europe</t>
  </si>
  <si>
    <t>Urban-Regional Development in South America : A Process of Diffusion and Integration</t>
  </si>
  <si>
    <t>Pedersen, Poul Ove</t>
  </si>
  <si>
    <t>Machtstaat und Utopie : Vom Streit Um Die dämonie der Macht Seit Machiavelli und Morus</t>
  </si>
  <si>
    <t>Ritter, Gerhard</t>
  </si>
  <si>
    <t>Menandri Sicyonius</t>
  </si>
  <si>
    <t>Menander</t>
  </si>
  <si>
    <t>Comprehending Antisemitism Through the Ages: a Historical Perspective</t>
  </si>
  <si>
    <t>Euripides-Rezeption in Kaiserzeit und Spätantike</t>
  </si>
  <si>
    <t>Schramm, Michael</t>
  </si>
  <si>
    <t>Modernization of Public Spaces in Lithuanian Cities : Evolution and Transition</t>
  </si>
  <si>
    <t>Zaleckis, Kęstutis</t>
  </si>
  <si>
    <t>The Legacy of Early Franciscan Thought</t>
  </si>
  <si>
    <t>Was Wird Aus Dem Heidelberger Schloß Werden?</t>
  </si>
  <si>
    <t>Dehio, G.</t>
  </si>
  <si>
    <t>Temperatur, Salzgehalt und Dichte an der Oberfläche des Atlantischen Ozeans, Lfg 3. Untersuchungen über Die Mittleren Hydrographischen Verhältnisse an der Meeresoberfläche des Nördlichen Nordatlantischen Ozeans</t>
  </si>
  <si>
    <t>Krauss, Wolfgang</t>
  </si>
  <si>
    <t>Der Freiwillige Soziale Aufwand in der Industrie und Seine Betriebswirtschaftliche Behandlung</t>
  </si>
  <si>
    <t>Merle, Günter</t>
  </si>
  <si>
    <t>Soziologie - Sociology in the German-Speaking World : Special Issue Soziologische Revue 2020</t>
  </si>
  <si>
    <t>Hunger! : Effects of Modern War Methods</t>
  </si>
  <si>
    <t>Rubmann, Max</t>
  </si>
  <si>
    <t>Fakes and Forgeries of Written Artefacts from Ancient Mesopotamia to Modern China</t>
  </si>
  <si>
    <t>Michel, Cécile</t>
  </si>
  <si>
    <t>Das Gelingen der Künstlichen Natürlichkeit : Mensch-Sein an Den Grenzen des Lebens Mit Disruptiven Biotechnologien</t>
  </si>
  <si>
    <t>Mitscherlich-Schönherr, Olivia</t>
  </si>
  <si>
    <t>The Study of an Italian Village</t>
  </si>
  <si>
    <t>Maraspini, A. L.</t>
  </si>
  <si>
    <t>Handbook of Polish, Czech, and Slovak Holocaust Fiction : Works and Contexts</t>
  </si>
  <si>
    <t>Hiemer, Elisa-Maria</t>
  </si>
  <si>
    <t>Échanges et Communications, II : Mélanges Offerts à Claude lévi-Strauss à l'occasion de Son 60ème Anniversaire</t>
  </si>
  <si>
    <t>Lévi-Strauss, Claude</t>
  </si>
  <si>
    <t>Lehrbuch der Instrumentenkunde Für Die Operationspraxis</t>
  </si>
  <si>
    <t>Kaboth, Berta</t>
  </si>
  <si>
    <t>The State of Law : Comparative Perspectives on the Rule of Law in Germany and Vietnam</t>
  </si>
  <si>
    <t>von Alemann, Ulrich</t>
  </si>
  <si>
    <t>Visuelle Linguistik : Zur Genese, Funktion und Kategorisierung Von Diagrammen in der Sprachwissenschaft</t>
  </si>
  <si>
    <t>Bubenhofer, Noah</t>
  </si>
  <si>
    <t>Claiming and Making Muslim Worlds : Religion and Society in the Context of the Global</t>
  </si>
  <si>
    <t>Dağyeli, Jeanine Elif</t>
  </si>
  <si>
    <t>Koloniale Straßennamen : Benennungspraktiken Im Kontext Kolonialer Raumaneignung in der Deutschen Metropole Von 1884 Bis 1945</t>
  </si>
  <si>
    <t>Ebert, Verena</t>
  </si>
  <si>
    <t>Uncertain Values : An Axiomatic Approach to Axiological Uncertainty</t>
  </si>
  <si>
    <t>Riedener, Stefan</t>
  </si>
  <si>
    <t>Prosa : Geschichte, Poetik, Theorie</t>
  </si>
  <si>
    <t>Efimova, Svetlana</t>
  </si>
  <si>
    <t>Trends in Statistical Codicology</t>
  </si>
  <si>
    <t>Maniaci, Marilena</t>
  </si>
  <si>
    <t>Lineare Algebra</t>
  </si>
  <si>
    <t>Kowalsky, Hans-Joachim</t>
  </si>
  <si>
    <t>Grundwerte Römischer Staatsgesinnung in Den Geschichtswerken des Sallust</t>
  </si>
  <si>
    <t>Pöschl, Viktor</t>
  </si>
  <si>
    <t>Religious Otherness and National Identity in Scandinavia, C. 1790-1960 : The Construction of Jews, Mormons, and Jesuits As Anti-Citizens and Enemies of Society</t>
  </si>
  <si>
    <t>Ulvund, Frode</t>
  </si>
  <si>
    <t>Dokufiktionalität in Literatur und Medien : Erzählen an Den Schnittstellen Von Fakt und Fiktion</t>
  </si>
  <si>
    <t>Rekrutierungen Für Die Waffen-SS in Südosteuropa : Ideen, Ideale und Realitäten Einer Vielvölkerarmee</t>
  </si>
  <si>
    <t>Zaugg, Franziska Anna</t>
  </si>
  <si>
    <t>Gehört der Islam Zu Deutschland? : Fakten und Analysen Zu Einem Meinungsstreit</t>
  </si>
  <si>
    <t>Spenlen, Klaus</t>
  </si>
  <si>
    <t>Principles of Decoration in the Roman World</t>
  </si>
  <si>
    <t>Logarithmische Rechentafeln Für Chemiker, Pharmazeuten, Mediziner und Physiker</t>
  </si>
  <si>
    <t>Küster, F. W.</t>
  </si>
  <si>
    <t>Einführung in das Programmieren in BASIC</t>
  </si>
  <si>
    <t>Mägerle, Erich W.</t>
  </si>
  <si>
    <t>Bringing Buddhism to Tibet : History and Narrative in the DBA' BZHED Manuscript</t>
  </si>
  <si>
    <t>Doney, Lewis</t>
  </si>
  <si>
    <t>Der Nachlass Paul de Lagarde : Orientalistische Netzwerke und Antisemitische Verflechtungen</t>
  </si>
  <si>
    <t>Behlmer, Heike</t>
  </si>
  <si>
    <t>Mathematical Linguistics in the Soviet Union</t>
  </si>
  <si>
    <t>Papp, Ferenc</t>
  </si>
  <si>
    <t>Sprache und Kognition : Ereigniskonzeptualisierung Im Deutschen und Tschechischen</t>
  </si>
  <si>
    <t>Mertins, Barbara</t>
  </si>
  <si>
    <t>Der Kathedersocialismus und Die Sociale Frage : Festrede Gehalten Am 3. November 1899 Zur Stiftungsfeier des Socialwissenschaftlichen Studentenvereins Zu Berlin</t>
  </si>
  <si>
    <t>Wolf, Julius</t>
  </si>
  <si>
    <t>Clarice Lispector - Weltliteratur? : Übersetzungs- und Rezeptionsdynamiken Im 20. und 21. Jahrhundert</t>
  </si>
  <si>
    <t>Meyer-Krentler, Leonie</t>
  </si>
  <si>
    <t>Kalter Krieg Auf Dem Indischen Subkontinent : Die Deutsch-Deutsche Diplomatie Im Bangladeschkrieg 1971</t>
  </si>
  <si>
    <t>Benatar, Alexander</t>
  </si>
  <si>
    <t>History of Philosophy and the Reflective Society</t>
  </si>
  <si>
    <t>Pozzo, Riccardo</t>
  </si>
  <si>
    <t>Kaiser Maximilian I. : Zwischen Wirklichkeit und Traum</t>
  </si>
  <si>
    <t>Winker, Will</t>
  </si>
  <si>
    <t>Rechtsentwicklungen in Deutschland</t>
  </si>
  <si>
    <t>Laufs, Adolf</t>
  </si>
  <si>
    <t>Gentrifizierung Als Rechtsproblem - Wohnungspolitik Ohne ökonomische und Rechtsstaatliche Leitplanken?</t>
  </si>
  <si>
    <t>Kühling, Jürgen</t>
  </si>
  <si>
    <t>Facing Poetry : Alexander Gottlieb Baumgarten's Theory of Literature</t>
  </si>
  <si>
    <t>Berndt, Frauke</t>
  </si>
  <si>
    <t>Address in Portuguese and Spanish : Studies in Diachrony and Diachronic Reconstruction</t>
  </si>
  <si>
    <t>Qualität in der Inhaltserschließung</t>
  </si>
  <si>
    <t>Franke-Maier, Michael</t>
  </si>
  <si>
    <t>IT Für Soziale Inklusion : Digitalisierung - Künstliche Intelligenz - Zukunft Für Alle</t>
  </si>
  <si>
    <t>Burchardt, Aljoscha</t>
  </si>
  <si>
    <t>Zukunft Lernwelt Hochschule : Perspektiven und Optionen Für eine Neuausrichtung</t>
  </si>
  <si>
    <t>Stang, Richard</t>
  </si>
  <si>
    <t>Selbstreparaturen in der Schriftlichen Interaktion : Eine Kontrastive Analyse Deutscher und Russischer Kurznachrichtenkommunikation</t>
  </si>
  <si>
    <t>Mostovaia, Irina</t>
  </si>
  <si>
    <t>Zur Geschichte Friedrichs I. und Friedrich Wilhelms I. Von Preußen</t>
  </si>
  <si>
    <t>Droysen, Joh. Gust. von</t>
  </si>
  <si>
    <t>Between Daily Routine and Violent Protest : Interpreting the Technicity of Action</t>
  </si>
  <si>
    <t>Häresie und Vorzeitige Reformation Im Spätmittelalter</t>
  </si>
  <si>
    <t>Smahel, Frantisek</t>
  </si>
  <si>
    <t>Landscape's Revenge : The Ecology of Failure in Robert Walser and Bernardo Carvalho</t>
  </si>
  <si>
    <t>Yurgel, Caio</t>
  </si>
  <si>
    <t>The Formation of the Talmud : Scholarship and Politics in Yitzhak Isaac Halevy's Dorot Harishonim</t>
  </si>
  <si>
    <t>Bergmann, Ari</t>
  </si>
  <si>
    <t>Das Spätantike Rom und Die Stadtrömische Senatsaristokratie (395-455 N. Chr. ) : Eine Althistorisch-Archäologische Untersuchung</t>
  </si>
  <si>
    <t>Wagner, Hendrik</t>
  </si>
  <si>
    <t>Heinrich Von Sybel: Die Begründung des Deutschen Reiches Durch Wilhelm I. . Band 1</t>
  </si>
  <si>
    <t>Sybel, Heinrich von</t>
  </si>
  <si>
    <t>The Rhetoric of Topics and Forms</t>
  </si>
  <si>
    <t>Zocco, Gianna</t>
  </si>
  <si>
    <t>Die Transformation der Informationsmärkte in Richtung Nutzungsfreiheit : Alternativen Zur Als-Ob-Regulierung Im Wissenschaftsurheberrecht</t>
  </si>
  <si>
    <t>Kuhlen, Rainer</t>
  </si>
  <si>
    <t>Die Zypressen der Villa D'Este : Schicksale Im Spiegel der Landschaft</t>
  </si>
  <si>
    <t>Guthmann, Johannes</t>
  </si>
  <si>
    <t>Das Problem des Künstlerischen</t>
  </si>
  <si>
    <t>Preetorius, Emil</t>
  </si>
  <si>
    <t>Hispanos en el Mundo : Emociones y Desplazamientos Históricos, Viajes y Migraciones</t>
  </si>
  <si>
    <t>Gallo González, Danae</t>
  </si>
  <si>
    <t>Philosophie Als Denken der Welt Gemäß Dem Prinzip des Kleinsten Kraftmaßes : Prolegomena Zu Einer Kritik der Reinen Erfahrung</t>
  </si>
  <si>
    <t>Avenarius, Richard</t>
  </si>
  <si>
    <t>Expressions of Sceptical Topoi in (Late) Antique Judaism</t>
  </si>
  <si>
    <t>Kiperwasser, Reuven</t>
  </si>
  <si>
    <t>The Bänkelsang and the Work of Bertolt Brecht</t>
  </si>
  <si>
    <t>McLean, Sammy K.</t>
  </si>
  <si>
    <t>Bibliographie Zum Strafrecht Im Nationalsozialismus : Literatur Zum Straf-, Strafverfahrens- und Strafvollzugsrecht Mit Ihren Grundlagen und Einem Anhang: Verzeichnis der Veröffentlichten Entscheidungen der Sondergerichte</t>
  </si>
  <si>
    <t>Rüping, Hinrich</t>
  </si>
  <si>
    <t>Exploring Written Artefacts : Objects, Methods, and Concepts</t>
  </si>
  <si>
    <t>Quenzer, Jörg B.</t>
  </si>
  <si>
    <t>Mechanische Triebwerke und Bremsen</t>
  </si>
  <si>
    <t>Löffler, St.</t>
  </si>
  <si>
    <t>Geschichte der Krim : Iphigenie und Putin Auf Tauris</t>
  </si>
  <si>
    <t>Jobst, Kerstin S.</t>
  </si>
  <si>
    <t>Die Kriminalität in Den USA und Ihre Behandlung</t>
  </si>
  <si>
    <t>Reckless, Walter C.</t>
  </si>
  <si>
    <t>Narrative der Migration : Eine Andere Deutsche Kulturgeschichte</t>
  </si>
  <si>
    <t>Ezli, Özkan</t>
  </si>
  <si>
    <t>Botanik</t>
  </si>
  <si>
    <t>Bischoff, Karl</t>
  </si>
  <si>
    <t>Learned Physicians and Everyday Medical Practice in the Renaissance</t>
  </si>
  <si>
    <t>Stolberg, Michael</t>
  </si>
  <si>
    <t>Gesunde Stadt : Die Assanierung der Stadt Wien (1934-1938)</t>
  </si>
  <si>
    <t>Knauer, Birgit</t>
  </si>
  <si>
    <t>Sprachliche Muster : Eine Induktive Korpuslinguistische Analyse Wissenschaftlicher Texte</t>
  </si>
  <si>
    <t>Brommer, Sarah</t>
  </si>
  <si>
    <t>Chemische Kosmographie : Vorlesung Gehalten an der Kgl. Technischen Hochschule Zu München Im Wintersemester 1902-1903</t>
  </si>
  <si>
    <t>Baur, Emil</t>
  </si>
  <si>
    <t>Voces de Mujeres en la Edad Media : Entre Realidad y Ficción</t>
  </si>
  <si>
    <t>Corral Díaz, Esther</t>
  </si>
  <si>
    <t>Early Thirteenth-Century English Franciscan Thought</t>
  </si>
  <si>
    <t>Early Urbanism in Europe : The Trypillia Megasites of the Ukrainian Forest-Steppe</t>
  </si>
  <si>
    <t>Gaydarska, Bisserka</t>
  </si>
  <si>
    <t>Kooperative Informationsinfrastrukturen Als Chance und Herausforderung : Festschrift Für Thomas Bürger Zum 65. Geburtstag</t>
  </si>
  <si>
    <t>Bonte, Achim</t>
  </si>
  <si>
    <t>Theorie der Kugelfunctionen und der Verwandten Functionen</t>
  </si>
  <si>
    <t>Heine, E.</t>
  </si>
  <si>
    <t>Bibliotheken der Schweiz: Innovation Durch Kooperation : Festschrift Für Susanna Bliggenstorfer Anlässlich Ihres Rücktrittes Als Direktorin der Zentralbibliothek Zürich</t>
  </si>
  <si>
    <t>Zentralbibliothek Zürich, Zentralbibliothek</t>
  </si>
  <si>
    <t>Optik : Mit 1 Ausschlagtafel</t>
  </si>
  <si>
    <t>Matossi, Frank</t>
  </si>
  <si>
    <t>Politik Der ,Glückskulturen' : NS-Deutschland und Die Schweiz, 1933-1945</t>
  </si>
  <si>
    <t>Haffter, Isabelle</t>
  </si>
  <si>
    <t>Das Lager und Heer der Römer : Eine Abhandlung über Die Stärke der Legionen und Insbesondere des Cäsarischen Heeres, Den Tagemarsch und Die Entwickelung des Lagers Von Polybius Bis Hygin. Festschrift Zur Einweihung des Neubaus des Schlettstadter Gymnasiums Im Mai 1912</t>
  </si>
  <si>
    <t>Stolle, Franz</t>
  </si>
  <si>
    <t>Angstkonstruktionen : Kulturwissenschaftliche Annäherungen an eine Zeitdiagnose</t>
  </si>
  <si>
    <t>The Poetry and Prose of Wang Wei : Volume II</t>
  </si>
  <si>
    <t>Navigating Socialist Encounters : Moorings and (Dis)Entanglements Between Africa and East Germany During the Cold War</t>
  </si>
  <si>
    <t>Burton, Eric</t>
  </si>
  <si>
    <t>Deutschland und Seine Feinde : Ein Bühnenfestspiel Für Unsere Zeit des Kampfes und Sieges</t>
  </si>
  <si>
    <t>Schmetzer, Ludwig</t>
  </si>
  <si>
    <t>Wortverbindungen - Mehr Oder Weniger Fest</t>
  </si>
  <si>
    <t>Steyer, Kathrin</t>
  </si>
  <si>
    <t>Semantische Spezialisierung vs. Polysemie : Interpretationsbesonderheiten Bei Komplementreduktionen Lexikalischer Einheiten</t>
  </si>
  <si>
    <t>von der Becke, Tanja</t>
  </si>
  <si>
    <t>Die ,,Confessio Augustana Im ökumenischen Gespräch</t>
  </si>
  <si>
    <t>Frank, Günter</t>
  </si>
  <si>
    <t>Die Einheitsbestrebungen in der Wissenschaftlichen Medicin</t>
  </si>
  <si>
    <t>Die Anfänge des Humanismus in Ingolstadt : Eine Litterarische Studie Zur Deutschen Universitätsgeschichte</t>
  </si>
  <si>
    <t>Bauch, Gustav</t>
  </si>
  <si>
    <t>Neue Richtungen in der Hoch- und Spätmittelalterlichen Bibelexegese</t>
  </si>
  <si>
    <t>Lerner, Robert E.</t>
  </si>
  <si>
    <t>Filmen, Forschen, Annotieren : Handbuch Research Video</t>
  </si>
  <si>
    <t>Lösel, Gunter</t>
  </si>
  <si>
    <t>Erzählte Ordnungen - Ordnungen des Erzählens : Studien Zu Texten Vom Mittelalter Bis Zur Frühen Neuzeit</t>
  </si>
  <si>
    <t>Fuhrmann, Daniela</t>
  </si>
  <si>
    <t>Die Macht des Definierens : Eine Diskurslinguistische Typologie Am Beispiel des Burnout-Phänomens</t>
  </si>
  <si>
    <t>Schnedermann, Theresa</t>
  </si>
  <si>
    <t>De Saltationibus Graecorum Capita Quinque</t>
  </si>
  <si>
    <t>Latte, Kurt</t>
  </si>
  <si>
    <t>Cultures of Eschatology : Volume 1: Empires and Scriptural Authorities in Medieval Christian, Islamic and Buddhist Communities. Volume 2: Time, Death and Afterlife in Medieval Christian, Islamic and Buddhist Communities</t>
  </si>
  <si>
    <t>Wieser, Veronika</t>
  </si>
  <si>
    <t>Kürschners Biographisches Theater-Handbuch : Schauspiel, Oper, Film, Rundfunk. Deutschland, Österreich, Schweiz</t>
  </si>
  <si>
    <t>Frenzel, Herbert A.</t>
  </si>
  <si>
    <t>Verb-Second As a Reconstruction Phenomenon : Evidence from Grammar and Processing</t>
  </si>
  <si>
    <t>Freitag, Constantin</t>
  </si>
  <si>
    <t>Disiecta Membra Musicae : Studies in Musical Fragmentology</t>
  </si>
  <si>
    <t>Varelli, Giovanni</t>
  </si>
  <si>
    <t>Die Lehnwörter Im Wortschatz der Spätbyzantinischen Historiographischen Literatur</t>
  </si>
  <si>
    <t>Zervan, Vratislav</t>
  </si>
  <si>
    <t>Dinámicas Lingüísticas de Las Situaciones de Contacto</t>
  </si>
  <si>
    <t>Palacios, Azucena</t>
  </si>
  <si>
    <t>Ständische Gesellschaft und Soziale Mobilität</t>
  </si>
  <si>
    <t>Schulze, Winfried</t>
  </si>
  <si>
    <t>Ernst Papanek and Jewish Refugee Children : Genocide and Displacement</t>
  </si>
  <si>
    <t>Lesepraktiken Im Antiken Judentum : Rezeptionsakte, Materialität und Schriftgebrauch</t>
  </si>
  <si>
    <t>Die Inschriften des Stadtgottesackers in Halle an der Saale (1550-1700) : Quellen Zum Bürgertum Einer Stadt in der Frühen Neuzeit</t>
  </si>
  <si>
    <t>Krüger, Klaus</t>
  </si>
  <si>
    <t>Die Ordnung der Wörter : Kognitive und Lexikalische Strukturen</t>
  </si>
  <si>
    <t>Harras, Gisela</t>
  </si>
  <si>
    <t>Société et Liberté Chez les Peul Djelgôbé de Haute-Volta : Essai d'anthropologie Introspective</t>
  </si>
  <si>
    <t>Riesman, Paul</t>
  </si>
  <si>
    <t>Jean Paul Im Spiegel Seiner Heimat : Festgabe Zum 100. Todestag des Dichters</t>
  </si>
  <si>
    <t>Herold, Eduard</t>
  </si>
  <si>
    <t>Varietäten des Deutschen : Regional- und Umgangssprachen</t>
  </si>
  <si>
    <t>Englische Verfassungsgeschichte Bis Zum Regierungsantritt der Königin Victoria</t>
  </si>
  <si>
    <t>Hatschek, Julius</t>
  </si>
  <si>
    <t>Prototypen - Schemata - Konstruktionen : Untersuchungen Zur Deutschen Morphologie und Syntax</t>
  </si>
  <si>
    <t>Binanzer, Anja</t>
  </si>
  <si>
    <t>Dunhuang Manuscript Culture : End of the First Millennium</t>
  </si>
  <si>
    <t>Eine Angebliche und eine Wirkliche Chronik Von Orvieto</t>
  </si>
  <si>
    <t>Himmelstern, Alex</t>
  </si>
  <si>
    <t>Zeichentragende Artefakte Im Sakralen Raum : Zwischen Präsenz und Unsichtbarkeit</t>
  </si>
  <si>
    <t>Grundriss der Encyklopädie der Theologie</t>
  </si>
  <si>
    <t>Dorner, A.</t>
  </si>
  <si>
    <t>Willkür Oder Mathematische Überlegung Beim Bau der Cheopspyramide?</t>
  </si>
  <si>
    <t>Kleppisch, K.</t>
  </si>
  <si>
    <t>Österreichs Skisport Im Nationalsozialismus : Anpassung - Verfolgung - Kollaboration</t>
  </si>
  <si>
    <t>Praher, Andreas</t>
  </si>
  <si>
    <t>Explorations of the Syntax-Semantics Interface</t>
  </si>
  <si>
    <t>Fleischhauer, Jens</t>
  </si>
  <si>
    <t>Der Heeresdienst Von Christen in der Römischen Kaiserzeit : Studien Zu Tertullian, Clemens und Origenes</t>
  </si>
  <si>
    <t>Gerstacker, Andreas</t>
  </si>
  <si>
    <t>Literary Translation, Reception, and Transfer</t>
  </si>
  <si>
    <t>Bachleitner, Norbert</t>
  </si>
  <si>
    <t>Säkulare Aspekte der Reformationszeit</t>
  </si>
  <si>
    <t>Angermeier, Heinz</t>
  </si>
  <si>
    <t>Deutsch Als Verkehrssprache in Europa</t>
  </si>
  <si>
    <t>Born, Joachim</t>
  </si>
  <si>
    <t>Filming, Researching, Annotating : Research Video Handbook</t>
  </si>
  <si>
    <t>Sequence Comparison in Historical Linguistics</t>
  </si>
  <si>
    <t>List, Mattis</t>
  </si>
  <si>
    <t>Developing Heritage - Developing Countries : Ethiopian Nation-Building and the Origins of UNESCO World Heritage, 1960-1980</t>
  </si>
  <si>
    <t>Huber, Marie</t>
  </si>
  <si>
    <t>Rationale Entscheidungen Unter Unsicherheit</t>
  </si>
  <si>
    <t>Fleischer, Bernhard</t>
  </si>
  <si>
    <t>G. Ch. Lichtenberg in Seiner Stellung Zur Deutschen Literatur</t>
  </si>
  <si>
    <t>Kleineibst, Richard</t>
  </si>
  <si>
    <t>Les Normes de Prononciation du Français : Une étude Perceptive Panfrancophone</t>
  </si>
  <si>
    <t>Chalier, Marc</t>
  </si>
  <si>
    <t>Wie Sah Goethe Aus?</t>
  </si>
  <si>
    <t>Stahl, Fritz</t>
  </si>
  <si>
    <t>Über Wissenschaft Reden : Studien Zu Sprachgebrauch, Darstellung und Adressierung in der Deutschsprachigen Wissenschaftsprosa Um 1800</t>
  </si>
  <si>
    <t>Haas, Claude</t>
  </si>
  <si>
    <t>Recht der öffentlichen Sachen</t>
  </si>
  <si>
    <t>System- and Data-Driven Methods and Algorithms</t>
  </si>
  <si>
    <t>Platons Parmenides, Als Dialektisches Kunstwerk Dargestellt</t>
  </si>
  <si>
    <t>Plato</t>
  </si>
  <si>
    <t>Poetas Hispanoamericanas Contemporáneas : Poéticas y Metapoéticas (siglos XX-XXI)</t>
  </si>
  <si>
    <t>Rodríguez Gutiérrez, Milena</t>
  </si>
  <si>
    <t>Scientific Writing and Publishing in Medicine and Health Sciences : A Quick Guide in English and German</t>
  </si>
  <si>
    <t>Kotz, Daniel</t>
  </si>
  <si>
    <t>Trading Zones of Digital History</t>
  </si>
  <si>
    <t>Kemman, Max</t>
  </si>
  <si>
    <t>Die Marokkofrage und Die Konferenz Von Algeciras</t>
  </si>
  <si>
    <t>Diercks, Gustav</t>
  </si>
  <si>
    <t>Die Poesie der Dinge : Ziele und Strategien der Wissensvermittlung Im Lateinischen Lehrgedicht der Frühen Neuzeit</t>
  </si>
  <si>
    <t>Markevičiūtė, Ramunė</t>
  </si>
  <si>
    <t>Grundriss der Ultraviolett- und Infrarot-Behandlung</t>
  </si>
  <si>
    <t>Kunze, Harald M.</t>
  </si>
  <si>
    <t>History and Drama : The Pan-European Tradition</t>
  </si>
  <si>
    <t>Stilfragen</t>
  </si>
  <si>
    <t>Die Vorgänge der Inneren Politik Seit der Thronbesteigung Kaiser Wilhelms II</t>
  </si>
  <si>
    <t>Roessler, Konstantin</t>
  </si>
  <si>
    <t>Funktionsverbgefüge des Deutschen : Untersuchungen Zu Einer Kategorie Zwischen Lexikon und Grammatik</t>
  </si>
  <si>
    <t>Grundkurs Strafrecht : Die Einzelnen Delikte</t>
  </si>
  <si>
    <t>Otto, Harro</t>
  </si>
  <si>
    <t>Natural Communication : The Obstacle-Embracing Art of Abstract Gnomonics</t>
  </si>
  <si>
    <t>Zafiris, Elias</t>
  </si>
  <si>
    <t>Geschichte der Islamischen Völker und Staaten</t>
  </si>
  <si>
    <t>Brockelmann, Carl</t>
  </si>
  <si>
    <t>Medizinische Informationsverarbeitung : Planung und Organisation</t>
  </si>
  <si>
    <t>Hoffmann, Michael J. A.</t>
  </si>
  <si>
    <t>Bild und Schrift Auf 'magischen' Artefakten</t>
  </si>
  <si>
    <t>Dostoevskij and Schiller</t>
  </si>
  <si>
    <t>Lyngstad, Alexandra H.</t>
  </si>
  <si>
    <t>Die Mitschuldigen : Ein Lustspiel</t>
  </si>
  <si>
    <t>Goethe, W.</t>
  </si>
  <si>
    <t>Die Reformation und das Elsaß : Festschrift Zur 400 Jährigen Jubelfeier der Reformation</t>
  </si>
  <si>
    <t>Grünberg, Paul</t>
  </si>
  <si>
    <t>Sprache und Neue Medien</t>
  </si>
  <si>
    <t>Kallmeyer, Werner</t>
  </si>
  <si>
    <t>Francesco Da Barberino Al Crocevia : Culture, Società, Bilinguismo</t>
  </si>
  <si>
    <t>Geschichte der Deutschen in England : Von Den Ersten Germanischen Ansiedlungen in Britannien Bis Zum Ende des 18. Jahrhunderts</t>
  </si>
  <si>
    <t>Schaible, Karl Heinrich</t>
  </si>
  <si>
    <t>The Good Christian Ruler in the First Millennium : Views from the Wider Mediterranean World in Conversation</t>
  </si>
  <si>
    <t>Forness, Philip Michael</t>
  </si>
  <si>
    <t>Praxishandbuch Forschungsdatenmanagement</t>
  </si>
  <si>
    <t>Putnings, Markus</t>
  </si>
  <si>
    <t>Das Publikum Politischer Theorie Im 14. Jahrhundert</t>
  </si>
  <si>
    <t>Miethke, Jürgen</t>
  </si>
  <si>
    <t>Reform des Deutschen Namensrechts</t>
  </si>
  <si>
    <t>Dutta, Anatol</t>
  </si>
  <si>
    <t>Assessment of General Practitioners' Performance in Daily Practice : The EURACT Performance Agenda of General Practice/Family Medicine</t>
  </si>
  <si>
    <t>Wilm, Stefan</t>
  </si>
  <si>
    <t>Am Rande der Fotografie : Eine Medialitätsgeschichte des Fotogramms Im 19. Jahrhundert</t>
  </si>
  <si>
    <t>Steidl, Katharina</t>
  </si>
  <si>
    <t>Deutsche Juden und Die Moderne</t>
  </si>
  <si>
    <t>Volkov, Shulamit</t>
  </si>
  <si>
    <t>Vanitas und Gesellschaft</t>
  </si>
  <si>
    <t>Benthien, Claudia</t>
  </si>
  <si>
    <t>Touch in the Time of Corona : Reflections on Love, Care, and Vulnerability in the Pandemic</t>
  </si>
  <si>
    <t>Steiner, Henriette</t>
  </si>
  <si>
    <t>Vergemeinschaftung und Distinktion : Eine Gesprächsanalytische Studie über Positionierungspraktiken in Diskussionen über TV-Serien</t>
  </si>
  <si>
    <t>Weiser-Zurmühlen, Kristin</t>
  </si>
  <si>
    <t>Wohnungsgesetz und Bürgschaftssicherungsgesetz</t>
  </si>
  <si>
    <t>Schmittmann, Benedikt</t>
  </si>
  <si>
    <t>Japan-Pop-Revolution : Neue Trends der Japanischen Gesellschaft Reflektiert in der Popkultur</t>
  </si>
  <si>
    <t>Mae, Michiko</t>
  </si>
  <si>
    <t>Instruments and Related Concepts at the Syntax-Semantics Interface</t>
  </si>
  <si>
    <t>Van Hooste, Koen</t>
  </si>
  <si>
    <t>Die Geschichtlichkeit des Briefs : Kontinuität und Wandel Einer Kommunikationsform</t>
  </si>
  <si>
    <t>Kasper, Norman</t>
  </si>
  <si>
    <t>Architecture and Naturing Affairs</t>
  </si>
  <si>
    <t>An, Mihye</t>
  </si>
  <si>
    <t>Archive in/aus Literatur : Wechselspiele Zweier Medien</t>
  </si>
  <si>
    <t>The Politics of Dementia : Forgetting and Remembering the Violent Past in Literature, Film and Graphic Narratives</t>
  </si>
  <si>
    <t>Krüger-Fürhoff, Irmela Marei</t>
  </si>
  <si>
    <t>Gewalt in Laktanz' de Mortibus Persecutorum</t>
  </si>
  <si>
    <t>Zipp, Gianna</t>
  </si>
  <si>
    <t>Magnetic Hybrid-Materials : Multi-Scale Modelling, Synthesis, and Applications</t>
  </si>
  <si>
    <t>Odenbach, Stefan</t>
  </si>
  <si>
    <t>Leibniz Als Historiker</t>
  </si>
  <si>
    <t>Hochstetter, Erich</t>
  </si>
  <si>
    <t>Ergonomics for People with Disabilities : Design for Accessibility</t>
  </si>
  <si>
    <t>Polak-Sopinska, Aleksandra</t>
  </si>
  <si>
    <t>Morphosyntactic Variation in Medieval Celtic Languages : Corpus-Based Approaches</t>
  </si>
  <si>
    <t>Lash, Elliott</t>
  </si>
  <si>
    <t>How Is World Literature Made? : The Global Circulations of Latin American Literatures</t>
  </si>
  <si>
    <t>Zur Griechischen Mythologie : Ein Bruchstück. Ueber Die Behandlung der Griechischen Mythologie</t>
  </si>
  <si>
    <t>Jacob, August</t>
  </si>
  <si>
    <t>Polizei und Geiseln. der Münchener Bankraub</t>
  </si>
  <si>
    <t>Schroeder, Friedrich-Christian</t>
  </si>
  <si>
    <t>Der Hofmeister und Die Gouvernante : Ein Lustspiel in 5 Aufzügen</t>
  </si>
  <si>
    <t>Metzger, Michael M.</t>
  </si>
  <si>
    <t>The Present and Past Periphrastic Tenses in Anglo-Saxon</t>
  </si>
  <si>
    <t>Pessels, Constance</t>
  </si>
  <si>
    <t>Guidelines for Supporting Children with Disabilities' Play : Methodologies, Tools, and Contexts</t>
  </si>
  <si>
    <t>Encarnação, Pedro</t>
  </si>
  <si>
    <t>Schillers Einfluss Auf Theodor Körner : Ein Beitrag Zur Litteraturgeschichte</t>
  </si>
  <si>
    <t>Reinhard, Gustav</t>
  </si>
  <si>
    <t>Sensory Motor Concepts in Language and Cognition</t>
  </si>
  <si>
    <t>Ströbel, Liane</t>
  </si>
  <si>
    <t>Sprache und Recht</t>
  </si>
  <si>
    <t>Haß-Zumkehr, Ulrike</t>
  </si>
  <si>
    <t>Wettbewerbsfähigkeit Von Start-Ups : Erfolgreiche düsseldorfer Unternehmen</t>
  </si>
  <si>
    <t>Lutz, Eva</t>
  </si>
  <si>
    <t>Elektronische Tischrechenautomaten : Aufbau und Wirkungsweise</t>
  </si>
  <si>
    <t>Mösl, Georg</t>
  </si>
  <si>
    <t>Die Begründung des Realen : Hegels ,,Logik Im Kontext der Realitätsdebatte Um 1800</t>
  </si>
  <si>
    <t>Wirsing, Claudia</t>
  </si>
  <si>
    <t>Inszenierte Geschichte | Staging History : Medialität und Politik Europäischer Hochschuljubiläen Von 1850 Bis Heute | Anniversaries in European Institutions of Higher Learning from 1850 to the Present</t>
  </si>
  <si>
    <t>Guhl, Anton</t>
  </si>
  <si>
    <t>In Diensten des Afrikanischen Sozialismus : Tansania und Die Globale Entwicklungsarbeit der Beiden Deutschen Staaten, 1961-1990</t>
  </si>
  <si>
    <t>Neues Aus Wissenschaft und Lehre : Jahrbuch der Heinrich-Heine-Universität Düsseldorf 2008/2009</t>
  </si>
  <si>
    <t>Das Disziplinargesetz der Evangelischen Kirche in Deutschland Vom 11. März 1955 : Sowie Die Verordnung der Evangelischen Kirche der Union über das Disziplinarrecht Vom 14. Mai 1956 Nebst Den Überleitungsgesetzen der Gliedkirchen</t>
  </si>
  <si>
    <t>Arnim, Hans von</t>
  </si>
  <si>
    <t>Einstein vs. Bergson : An Enduring Quarrel on Time</t>
  </si>
  <si>
    <t>Campo, Alessandra</t>
  </si>
  <si>
    <t>Men, Masculinities and the Modern Career : Contemporary and Historical Perspectives</t>
  </si>
  <si>
    <t>Aavik, Kadri</t>
  </si>
  <si>
    <t>Immanuel Kant : Eine Gedächtnisrede Gehalten Am 100jährigen Todestage Kants, D. 12. Febr. 1904, Vor Versammelter Universität in der Collegienkirche Zu Jena</t>
  </si>
  <si>
    <t>Liebmann, Otto</t>
  </si>
  <si>
    <t>Das Preußische Disziplinargesetz Für Die Nichtrichterlichen Beamten Nebst Dem Disziplinargesetze Für Die Privatdozenten</t>
  </si>
  <si>
    <t>Dultzig, Eugen</t>
  </si>
  <si>
    <t>La Literatura Latinoamericana en Versión Francesa : Trabajos Del Equipo MEDET LAT</t>
  </si>
  <si>
    <t>Genre in the Climate Debate</t>
  </si>
  <si>
    <t>Auken, Sune</t>
  </si>
  <si>
    <t>Zur Analysis des Endlichen und des Unendlichen : Vorlesungen Aus Kurzsemestern</t>
  </si>
  <si>
    <t>Kowalewski, Gerhard</t>
  </si>
  <si>
    <t>Reformen Im Rheinbündischen Deutschland</t>
  </si>
  <si>
    <t>Weis, Eberhard</t>
  </si>
  <si>
    <t>Nationalism in a Transnational Age : Irrational Fears and the Strategic Abuse of Nationalist Pride</t>
  </si>
  <si>
    <t>Kriminaltherapie Heute : Forschungsberichte Zur Behandlung Von Delinquenten und Drogengeschädigten</t>
  </si>
  <si>
    <t>Müller-Dietz, Heinz</t>
  </si>
  <si>
    <t>Goethe und Die Geschichte</t>
  </si>
  <si>
    <t>Meinecke, Friedrich</t>
  </si>
  <si>
    <t>Von der Renaissance Bis Zur Aufklärung</t>
  </si>
  <si>
    <t>Schubel, Friedrich</t>
  </si>
  <si>
    <t>Die Stadt Als Beschriebener Raum : Die Beispiele Pompeji und Herculaneum</t>
  </si>
  <si>
    <t>Wachstum und Entwicklung : Theorie der Entwicklungspolitik</t>
  </si>
  <si>
    <t>Wagner, Helmut</t>
  </si>
  <si>
    <t>Das Deutsche Als Europäische Sprache : Ein Porträt</t>
  </si>
  <si>
    <t>Zifonun, Gisela</t>
  </si>
  <si>
    <t>They Did Not Stop at Eboli : UNESCO and the Campaign Against Illiteracy in a Reportage by David Chim Seymour and Carlo Levi (1950)</t>
  </si>
  <si>
    <t>Priem, Karin</t>
  </si>
  <si>
    <t>Deutsch - Typologisch</t>
  </si>
  <si>
    <t>Lang, Ewald</t>
  </si>
  <si>
    <t>Agonal Perspectives on Nietzsche's Philosophy of Critical Transvaluation</t>
  </si>
  <si>
    <t>Siemens, Herman W.</t>
  </si>
  <si>
    <t>Democratic State and Democratic Society : Institutional Change in the Nordic Model</t>
  </si>
  <si>
    <t>Lernwelt Hochschule : Dimensionen Eines Bildungsbereichs Im Umbruch</t>
  </si>
  <si>
    <t>Becker, Alexandra</t>
  </si>
  <si>
    <t>Jüdische Expatriates in China und Hong Kong Nach 1976 : Religiöse Dynamik Im Zeichen der Expat-Migration</t>
  </si>
  <si>
    <t>Pătru, Alina</t>
  </si>
  <si>
    <t>Hamburgisches Hafen- und Schiffahrtsrecht</t>
  </si>
  <si>
    <t>Küster, Karl</t>
  </si>
  <si>
    <t>The Politics of Housing in (Post-)Colonial Africa : Accommodating Workers and Urban Residents</t>
  </si>
  <si>
    <t>Rüther, Kirsten</t>
  </si>
  <si>
    <t>Deutsche Syntax : Ansichten und Aussichten</t>
  </si>
  <si>
    <t>Hoffmann, Ludger</t>
  </si>
  <si>
    <t>The Meaning of Media : Texts and Materiality in Medieval Scandinavia</t>
  </si>
  <si>
    <t>Horn, Anna Catharina</t>
  </si>
  <si>
    <t>Mechanik der Punkte und Punktsysteme</t>
  </si>
  <si>
    <t>Budde, E.</t>
  </si>
  <si>
    <t>Precious Irony : The Theatre of Jean Giraudoux</t>
  </si>
  <si>
    <t>Mankin, Paul A.</t>
  </si>
  <si>
    <t>Meeresalgen Fuer Die Menschliche Ernährung</t>
  </si>
  <si>
    <t>The Fish Lands : German Trade with Iceland, Shetland and the Faroe Islands in the Late 15th and 16th Century</t>
  </si>
  <si>
    <t>Holterman, Bart</t>
  </si>
  <si>
    <t>Was Ist Gesundheit? : Interdisziplinäre Perspektiven Aus Medizin, Geschichte und Kultur</t>
  </si>
  <si>
    <t>Eijk, Philip</t>
  </si>
  <si>
    <t>Lateinische Dichtungen Zur Deutschen Geschichte des Mittelalters</t>
  </si>
  <si>
    <t>Kaiser, Andreas</t>
  </si>
  <si>
    <t>Challenging the City Scale : Journeys in People-Centred Design</t>
  </si>
  <si>
    <t>Cité du Design, Cité du</t>
  </si>
  <si>
    <t>Commentar Zu Den Reliefs des Zweiten Dakischen Krieges</t>
  </si>
  <si>
    <t>Conrad, Cichorius</t>
  </si>
  <si>
    <t>Theorie der Kosten</t>
  </si>
  <si>
    <t>Mellerowicz, Konrad</t>
  </si>
  <si>
    <t>Führungskräfte Im Betrieb : Planung, Einsatz, Entwicklung</t>
  </si>
  <si>
    <t>Chorafas, Dimitris N.</t>
  </si>
  <si>
    <t>Der Papst : Nöthige Aufklärungen Aus der Geschichte</t>
  </si>
  <si>
    <t>Climate Lyricism</t>
  </si>
  <si>
    <t>Song, Min Hyoung</t>
  </si>
  <si>
    <t>Travel Writings on Asia : Curiosity, Identities, and Knowledge Across the East, C. 1200 to the Present</t>
  </si>
  <si>
    <t>Mueller, Christian</t>
  </si>
  <si>
    <t>Mapping Selfies and Memes As Touch</t>
  </si>
  <si>
    <t>Andreallo, Fiona</t>
  </si>
  <si>
    <t>Beyond Data : Human Rights, Ethical and Social Impact Assessment in AI</t>
  </si>
  <si>
    <t>Mantelero, Alessandro</t>
  </si>
  <si>
    <t>Christliches Leben und Die Verbesserung des Menschen : Enhancement und Heiligung Bei Calvin</t>
  </si>
  <si>
    <t>Felder, Matthias</t>
  </si>
  <si>
    <t>1722-1730</t>
  </si>
  <si>
    <t>Les Portraits de Marie-Thérèse : Représentation et Lien Politique Dans la Monarchie des Habsbourg (1740-1780)</t>
  </si>
  <si>
    <t>Banakas, Anne-Sophie</t>
  </si>
  <si>
    <t>Rethinking Orality I : Codification, Transcodification and Transmission of 'Cultural Messages'</t>
  </si>
  <si>
    <t>Ercolani, Andrea</t>
  </si>
  <si>
    <t>A Grammar of yélî Dnye : The Papuan Language of Rossel Island</t>
  </si>
  <si>
    <t>Levinson, Stephen C.</t>
  </si>
  <si>
    <t>Synchronic and Diachronic Aspects of Kanashi</t>
  </si>
  <si>
    <t>Saxena, Anju</t>
  </si>
  <si>
    <t>Konstruktionen Zwischen Lexikon und Grammatik : Phrasem-Konstruktionen Monolingual, Bilingual und Multilingual</t>
  </si>
  <si>
    <t>Mellado Blanco, Carmen</t>
  </si>
  <si>
    <t>Mikrogeschichten der Erinnerungskultur : Am Grünen Strand der Spree und Die Remedialisierung des Holocaust by Bullets</t>
  </si>
  <si>
    <t>Saryusz-Wolska, Magdalena</t>
  </si>
  <si>
    <t>Gelenkte Sprachkraft : Planmäßige Pflege des Schriftlichen Ausdrucks in der Volksschule 2. Bis 6. Schuljahr</t>
  </si>
  <si>
    <t>Mahr, Eugen</t>
  </si>
  <si>
    <t>Portraying Cicero in Literature, Culture, and Politics : From Ancient to Modern Times</t>
  </si>
  <si>
    <t>Berno, Francesca Romana</t>
  </si>
  <si>
    <t>Marcado Diferencial de Objeto y Semántica Verbal en Español</t>
  </si>
  <si>
    <t>Romero Heredero, Diego</t>
  </si>
  <si>
    <t>Internationale Wissenschaftskommunikation und Nationalsozialismus : Akademischer Austausch, Konferenzen und Reisen in Geistes- und Kulturwissenschaften 1933 Bis 1945</t>
  </si>
  <si>
    <t>Albrecht, Andrea</t>
  </si>
  <si>
    <t>Historische Lexikographie des Deutschen : Perspektiven Eines Forschungsfeldes Im Digitalen Zeitalter</t>
  </si>
  <si>
    <t>Diehl, Gerhard</t>
  </si>
  <si>
    <t>Digital Finance in Europe: Law, Regulation, and Governance</t>
  </si>
  <si>
    <t>Avgouleas, Emilios</t>
  </si>
  <si>
    <t>Digital History and Hermeneutics : Between Theory and Practice</t>
  </si>
  <si>
    <t>Fickers, Andreas</t>
  </si>
  <si>
    <t>Aber Die Zeit Fürchtet Die Pyramiden : Die Wissenschaften Vom Alten Orient und Die Zeitliche Dimension Von Kulturgeschichte</t>
  </si>
  <si>
    <t>The Exercise of the Spatial Imagination in Pre-Modern China : Shaping the Expanse</t>
  </si>
  <si>
    <t>Pagenstecher Olberding, Garret</t>
  </si>
  <si>
    <t>Digital Humanities and Libraries and Archives in Religious Studies : An Introduction</t>
  </si>
  <si>
    <t>Anderson, Clifford B.</t>
  </si>
  <si>
    <t>Literatur Nach der Digitalisierung : Zeitkonzepte und Gegenwartsdiagnosen</t>
  </si>
  <si>
    <t>Kreuzmair, Elias</t>
  </si>
  <si>
    <t>Der Deutsche Bauernkrieg</t>
  </si>
  <si>
    <t>Contesting Nordicness : From Scandinavianism to the Nordic Brand</t>
  </si>
  <si>
    <t>Marjanen, Jani</t>
  </si>
  <si>
    <t>Nonlinear Evolution Equations</t>
  </si>
  <si>
    <t>Guo, Boling</t>
  </si>
  <si>
    <t>Fragile Familien : Ehe und Häusliche Lebenswelt in der Bürgerlichen Moderne</t>
  </si>
  <si>
    <t>Eibach, Joachim</t>
  </si>
  <si>
    <t>Atem / Breath : Gestalterische, ökologische und Soziale Dimensionen / Morphological, Ecological and Social Dimensions</t>
  </si>
  <si>
    <t>Burchert, Linn</t>
  </si>
  <si>
    <t>Moses Dobruska and the Invention of Social Philosophy : Utopia, Judaism, and Heresy under the French Revolution</t>
  </si>
  <si>
    <t>Greco, Silvana</t>
  </si>
  <si>
    <t>Globale Herausforderungen Gemeinsam Meistern - Gestern, Heute, Morgen : Präsidenten Von ICOM Deutschland Im Zeitzeugen-Interview</t>
  </si>
  <si>
    <t>Bechtel, Tanja</t>
  </si>
  <si>
    <t>El Queísmo en la Historia : Variación y Cambio Lingüístico en el Régimen Preposicional Del Español (siglos XVI-XXI)</t>
  </si>
  <si>
    <t>Blas Arroyo, José Luis</t>
  </si>
  <si>
    <t>,,Fiktion und ,,Wirklichkeit in Japanischen Literaturtheorien der Jahre 1850 Bis 1890</t>
  </si>
  <si>
    <t>Woldering, Guido</t>
  </si>
  <si>
    <t>Integrated Chemical Processes in Liquid Multiphase Systems : From Chemical Reaction to Process Design and Operation</t>
  </si>
  <si>
    <t>Kraume, Matthias</t>
  </si>
  <si>
    <t>The Medieval Archive of Antisemitism in Nineteenth-Century Sweden</t>
  </si>
  <si>
    <t>Rhapsodic Objects : Art, Agency, and Materiality (1700-2000)</t>
  </si>
  <si>
    <t>Biro, Yaelle</t>
  </si>
  <si>
    <t>,Rabenschlacht'</t>
  </si>
  <si>
    <t>Klarer, Mario</t>
  </si>
  <si>
    <t>Kleinepik. Wolfram Von Eschenbach: ,Titurel'. ,Brief des Priesterkönigs Johannes'</t>
  </si>
  <si>
    <t>Changing Roles of NGOs in the Creation, Storage, and Dissemination of Information in Developing Countries</t>
  </si>
  <si>
    <t>Kant and Artificial Intelligence</t>
  </si>
  <si>
    <t>Kim, Hyeongjoo</t>
  </si>
  <si>
    <t>Precarity in European Film : Depictions and Discourses</t>
  </si>
  <si>
    <t>Cuter, Elisa</t>
  </si>
  <si>
    <t>Materiality in Roman Art and Architecture : Aesthetics, Semantics and Function</t>
  </si>
  <si>
    <t>Grundlinien Zum Systeme der Aesthetik (1824) und Andere Kunstphilosophische Schriften</t>
  </si>
  <si>
    <t>Heiberg, Johan Ludvig</t>
  </si>
  <si>
    <t>Öffentliche Geheimnisse : Skandale, Politik und Medien in Deutschland und Großbritannien 1880-1914</t>
  </si>
  <si>
    <t>Bösch, Frank</t>
  </si>
  <si>
    <t>Zitate der Aeneis in Den Briefen des Hieronymus : Eine Digitale Intertextualitätsanalyse Zur Untersuchung Kultureller Transformationsprozesse</t>
  </si>
  <si>
    <t>Revellio, Marie</t>
  </si>
  <si>
    <t>Estereotipos Femeninos Desde la Antigüedad Clásica Hasta el Siglo XVI</t>
  </si>
  <si>
    <t>González Doreste, Dulce María</t>
  </si>
  <si>
    <t>Der Weg der Welt</t>
  </si>
  <si>
    <t>Bingen, Hildegard von</t>
  </si>
  <si>
    <t>Der ein- und Mehrphasige Wechselstrom : Einführung in das Studium der Transformatoren und Wechselstrommaschinen</t>
  </si>
  <si>
    <t>Wotruba, R.</t>
  </si>
  <si>
    <t>Social Media and Social Order</t>
  </si>
  <si>
    <t>Herbert, David</t>
  </si>
  <si>
    <t>Conflicts in Interreligious Education : Exploring Theory and Practice</t>
  </si>
  <si>
    <t>Kraml, Martina</t>
  </si>
  <si>
    <t>Whiteface : Improv Comedy and Anti-Blackness</t>
  </si>
  <si>
    <t>Büch, Michel</t>
  </si>
  <si>
    <t>Genus - Sexus - Gender</t>
  </si>
  <si>
    <t>Diewald, Gabriele</t>
  </si>
  <si>
    <t>In Search of the Culprit : Aspects of Medieval Authorship</t>
  </si>
  <si>
    <t>Rösli, Lukas</t>
  </si>
  <si>
    <t>Emotions Across Cultures : Ancient China and Greece</t>
  </si>
  <si>
    <t>Konstan, David</t>
  </si>
  <si>
    <t>The Walking Dead at Saqqara : Strategies of Social and Religious Interaction in Practice</t>
  </si>
  <si>
    <t>Weiss, Lara</t>
  </si>
  <si>
    <t>Raumkonstruktionen | Spatial Constructions : Digital Humanities und Die 'Messbarkeit' des NS-Regimes | the Digital Humanities and the 'Measurability' of the Nazi Regime</t>
  </si>
  <si>
    <t>Němec, Richard</t>
  </si>
  <si>
    <t>Eine Andere Geschichte der Spanischen Literatur : Von Cervantes Bis Zur Gegenwart</t>
  </si>
  <si>
    <t>Ingenschay, Dieter</t>
  </si>
  <si>
    <t>Partitive Determiners, Partitive Pronouns and Partitive Case</t>
  </si>
  <si>
    <t>Sleeman, Petra</t>
  </si>
  <si>
    <t>Geburt Leben Sterben Tod : Potsdamer Vorlesungen über das Lebenswissen in Den Romanischen Literaturen der Welt</t>
  </si>
  <si>
    <t>,Nibelungenlied'</t>
  </si>
  <si>
    <t>,Nibelungenklage'</t>
  </si>
  <si>
    <t>Diversität in Bibliotheken : Theorien, Strategien und Praxisbeispiele</t>
  </si>
  <si>
    <t>Hauck, Julia</t>
  </si>
  <si>
    <t>Das Lukanische Doppelwerk : Zur Literarischen Basis Frühchristlicher Geschichtsdeutung</t>
  </si>
  <si>
    <t>Backhaus, Knut</t>
  </si>
  <si>
    <t>Die Glasmalereien Vom Mittelalter Bis 1930 Im Kanton Thurgau : Corpus Vitrearum Schweiz, Reihe Neuzeit, Band 8</t>
  </si>
  <si>
    <t>Keller, Sarah</t>
  </si>
  <si>
    <t>Medieval Multilingual Manuscripts : Case Studies from Ireland to Japan</t>
  </si>
  <si>
    <t>Clarke, Michael</t>
  </si>
  <si>
    <t>Hartmann Von Aue: ,Erec'. ,der Mantel'</t>
  </si>
  <si>
    <t>Die DDR-Literatur und Die Wissenschaften</t>
  </si>
  <si>
    <t>Gencarelli, Angela</t>
  </si>
  <si>
    <t>Hartmann Von Aue: ,Iwein'</t>
  </si>
  <si>
    <t>Red Glow : Yugoslav Partisan Photography and Social Movement, 1941-1945</t>
  </si>
  <si>
    <t>Workplace Spirituality : Making a Difference</t>
  </si>
  <si>
    <t>Altman, Yochanan</t>
  </si>
  <si>
    <t>Der Engel in der Moderne : Eine Figur Zwischen Exilgegenwart und Zukunftsvision</t>
  </si>
  <si>
    <t>Zschunke, Lena</t>
  </si>
  <si>
    <t>The Politics of Historical Memory and Commemoration in Africa</t>
  </si>
  <si>
    <t>Mark-Thiesen, Cassandra</t>
  </si>
  <si>
    <t>Linguistik und Medizin : Sprachwissenschaftliche Zugänge und Interdisziplinäre Perspektiven</t>
  </si>
  <si>
    <t>Iakushevich, Marina</t>
  </si>
  <si>
    <t>,Biterolf und Dietleib'</t>
  </si>
  <si>
    <t>Kardinal Cesare Baronio und das Kurienzeremoniell des Posttridentinischen Papsttums : Ein Beitrag Zur Geschichte der Römischen Kurie Während der Zweiten Hälfte des Cinquecento</t>
  </si>
  <si>
    <t>Malesevic, Filip</t>
  </si>
  <si>
    <t>Die Internationale Stadt Tanger : Infrastrukturen des Geteilten Kolonialismus, 1840-1956</t>
  </si>
  <si>
    <t>Hettstedt, Daniela</t>
  </si>
  <si>
    <t>A Basic Theory of Everything : A Fundamental Theoretical Framework for Science and Philosophy</t>
  </si>
  <si>
    <t>Søvik, Atle Ottesen</t>
  </si>
  <si>
    <t>Play among Books : A Symposium on Architecture and Information Spelt in Atom-Letters</t>
  </si>
  <si>
    <t>Roman, Miro</t>
  </si>
  <si>
    <t>Gleichzeitigkeit in der Interaktion : Strukturelle (in)Kompatibilität Bei Multiaktivitäten in Theaterproben</t>
  </si>
  <si>
    <t>Krug, Maximilian</t>
  </si>
  <si>
    <t>Youth and Memory in Europe : Defining the Past, Shaping the Future</t>
  </si>
  <si>
    <t>Krawatzek, Félix</t>
  </si>
  <si>
    <t>Continuing Professional Development - Preparing for New Roles in Libraries: a Voyage of Discovery : Sixth World Conference on Continuing Professional Development and Workplace Learning for the Library and Information Professions</t>
  </si>
  <si>
    <t>Genoni, Paul</t>
  </si>
  <si>
    <t>Bild und Text Auf Römischen Mosaiken : Intermediale Kommunikationsstrategien Im Kontext der Wohnkultur des 3. -5. Jahrhunderts</t>
  </si>
  <si>
    <t>Schmieder, Claudia</t>
  </si>
  <si>
    <t>Stocks for All: People's Capitalism in the Twenty-First Century</t>
  </si>
  <si>
    <t>Mäntysaari, Petri</t>
  </si>
  <si>
    <t>Mechanische Grundlagen des Flugzeugbaues, Teil 2</t>
  </si>
  <si>
    <t>Baumann, A.</t>
  </si>
  <si>
    <t>Iridescent Kuwait : Petro-Modernity and Urban Visual Culture since the Mid-Twentieth Century</t>
  </si>
  <si>
    <t>Hindelang, Laura</t>
  </si>
  <si>
    <t>Konstruktionssemantik : Frames in Gebrauchsbasierter Konstruktionsgrammatik und Konstruktikographie</t>
  </si>
  <si>
    <t>Willich, Alexander</t>
  </si>
  <si>
    <t>Nach der Kulturgeschichte : Perspektiven Einer Neuen Ideen- und Sozialgeschichte der Deutschen Literatur</t>
  </si>
  <si>
    <t>Benz, Maximilian</t>
  </si>
  <si>
    <t>Time for the Ancients : Measurement, Theory, Experience</t>
  </si>
  <si>
    <t>Singer, P. N.</t>
  </si>
  <si>
    <t>,Ortnit'. ,Wolfdietrich A'</t>
  </si>
  <si>
    <t>Conceptions of Time in Greek and Roman Antiquity</t>
  </si>
  <si>
    <t>Faure, Richard</t>
  </si>
  <si>
    <t>Geschichte der Heimat : Zur Genese Ihrer Semantik in Literatur, Religion, Recht und Wissenschaft</t>
  </si>
  <si>
    <t>Oesterhelt, Anja</t>
  </si>
  <si>
    <t>Kältebilder : Ästhetik und Erkenntnis Am Gefrierpunkt</t>
  </si>
  <si>
    <t>Bruhn, Matthias</t>
  </si>
  <si>
    <t>Karl Barth's Epistle to the Romans : Retrospect and Prospect</t>
  </si>
  <si>
    <t>Chalamet, Christophe</t>
  </si>
  <si>
    <t>Kontrafaktik der Gegenwart : Politisches Schreiben Als Realitätsvariation Bei Christian Kracht, Kathrin Röggla, Juli Zeh und Leif Randt</t>
  </si>
  <si>
    <t>Navratil, Michael</t>
  </si>
  <si>
    <t>,Dietrichs Flucht'</t>
  </si>
  <si>
    <t>Höfische Texte</t>
  </si>
  <si>
    <t>Handbook of Ancient Afro-Eurasian Economies : Volume 2: Local, Regional, and Imperial Economies</t>
  </si>
  <si>
    <t>von Reden, Sitta</t>
  </si>
  <si>
    <t>La Tradizione Manoscritta Dell' Ars Dictaminis Nell'Italia Medievale : Mise en Page e Mise en Texte</t>
  </si>
  <si>
    <t>Rethinking Orality II : The Mechanisms of the Oral Communication System in the Case of the Archaic Epos</t>
  </si>
  <si>
    <t>Reading History in the Roman Empire</t>
  </si>
  <si>
    <t>Forensische Verfahren in Den Zeitgenössischen Künsten : Forensic Architecture und Andere Fallanalysen</t>
  </si>
  <si>
    <t>Stuckey, Lisa</t>
  </si>
  <si>
    <t>,Kudrun'</t>
  </si>
  <si>
    <t>Zionism and Cosmopolitanism : Franz Oppenheimer and the Dream of a Jewish Future in Germany and Palestine</t>
  </si>
  <si>
    <t>Peretz, Dekel</t>
  </si>
  <si>
    <t>Mapping Narrations - Narrating Maps : Concepts of the World in the Middle Ages and the Early Modern Period</t>
  </si>
  <si>
    <t>Medieval Institute Publications</t>
  </si>
  <si>
    <t>Baumgärtner, Ingrid</t>
  </si>
  <si>
    <t>The World's First Full Press Freedom : The Radical Experiment of Denmark-Norway 1770-1773</t>
  </si>
  <si>
    <t>Langen, Ulrik</t>
  </si>
  <si>
    <t>Kinder und Jugendliche in der COVID-19-Pandemie : Perspektiven Aus Praxis und Wissenschaft</t>
  </si>
  <si>
    <t>Oommen-Halbach, Anne</t>
  </si>
  <si>
    <t>Vom Germanenerbe Zum Urkommunismus : Urgeschichtsbilder in Museen der SBZ und DDR</t>
  </si>
  <si>
    <t>Lindemann, Arne</t>
  </si>
  <si>
    <t>Rethinking Islam in Europe : Contemporary Approaches in Islamic Religious Education and Theology</t>
  </si>
  <si>
    <t>Diskurse - Digital : Theorien, Methoden, Anwendungen</t>
  </si>
  <si>
    <t>Gredel, Eva</t>
  </si>
  <si>
    <t>Envisioning the Future of Learning for Creativity, Innovation and Entrepreneurship</t>
  </si>
  <si>
    <t>Papageorgiou, Kyriaki</t>
  </si>
  <si>
    <t>Perfekt unperfekt : Elaboration und Imperfektion in der Rhetorik des Designs</t>
  </si>
  <si>
    <t>Schneller, Annina</t>
  </si>
  <si>
    <t>Die Papyri Herkulaneums Im Digitalen Zeitalter : Neue Texte Durch Neue Techniken - eine Kurzeinführung</t>
  </si>
  <si>
    <t>Fleischer, Kilian</t>
  </si>
  <si>
    <t>Die Vergangenheitstempora Im Alemannischen Deutschlands : Eine Korpusbasierte Quantitative und Qualitative Untersuchung</t>
  </si>
  <si>
    <t>Leonhard, Jens</t>
  </si>
  <si>
    <t>Anti-Klages : Oder Von der Würde des Menschen</t>
  </si>
  <si>
    <t>1731-1733</t>
  </si>
  <si>
    <t>Action-Related Representations : An Action-Based Approach to Grounded Cognition</t>
  </si>
  <si>
    <t>Seuchter, Tim</t>
  </si>
  <si>
    <t>Football and Nation Building in Colombia (2010-2018) : The Only Thing That Unites Us</t>
  </si>
  <si>
    <t>Watson, Peter J.</t>
  </si>
  <si>
    <t>Agile Processes in Software Engineering and Extreme Programming : 23rd International Conference on Agile Software Development, XP 2022, Copenhagen, Denmark, June 13-17, 2022, Proceedings</t>
  </si>
  <si>
    <t>Entrepreneurial Responses to Chronic Adversity : The Bright, the Dark, and the in Between</t>
  </si>
  <si>
    <t>International Actors and the Formation of Laws</t>
  </si>
  <si>
    <t>Karjalainen, Katja</t>
  </si>
  <si>
    <t>Encounters and Practices of Petty Trade in Northern Europe, 1820-1960 : Forgotten Livelihoods</t>
  </si>
  <si>
    <t>Ahlbeck, Jutta</t>
  </si>
  <si>
    <t>Russia-China Relations : Emerging Alliance or Eternal Rivals?</t>
  </si>
  <si>
    <t>Kirchberger, Sarah</t>
  </si>
  <si>
    <t>Framing Global Mathematics : The International Mathematical Union Between Theorems and Politics</t>
  </si>
  <si>
    <t>Schappacher, Norbert</t>
  </si>
  <si>
    <t>Evading the Patronage Trap : Interest Representation in Mexico</t>
  </si>
  <si>
    <t>Palmer-Rubin, Brian</t>
  </si>
  <si>
    <t>Digital Transformation in Norwegian Enterprises</t>
  </si>
  <si>
    <t>Mikalef, Patrick</t>
  </si>
  <si>
    <t>Public Systems Modeling : Methods for Identifying and Evaluating Alternative Plans and Policies</t>
  </si>
  <si>
    <t>Deep Neural Networks and Data for Automated Driving : Robustness, Uncertainty Quantification, and Insights Towards Safety</t>
  </si>
  <si>
    <t>Fingscheidt, Tim</t>
  </si>
  <si>
    <t>Smittestopp  a Case Study on Digital Contact Tracing</t>
  </si>
  <si>
    <t>Elmokashfi, Ahmed</t>
  </si>
  <si>
    <t>Grundrechte : Klausur- und Examenswissen</t>
  </si>
  <si>
    <t>Hahn, Lisa</t>
  </si>
  <si>
    <t>Towards the Perfect Weather Warning : Bridging Disciplinary Gaps Through Partnership and Communication</t>
  </si>
  <si>
    <t>Golding, Brian</t>
  </si>
  <si>
    <t>Responsible Procurement : Leading the Way to a Sustainable Tomorrow</t>
  </si>
  <si>
    <t>Aichbauer, Stefan</t>
  </si>
  <si>
    <t>Improving Oncology Worldwide : Education, Clinical Research and Global Cancer Care</t>
  </si>
  <si>
    <t>Schmidt-Straßburger, Uta</t>
  </si>
  <si>
    <t>Participative Urban Health and Healthy Aging in the Age of AI : 19th International Conference, ICOST 2022, Paris, France, June 27-30, 2022, Proceedings</t>
  </si>
  <si>
    <t>Aloulou, Hamdi</t>
  </si>
  <si>
    <t>Social Networks and Health Inequalities : A New Perspective for Research</t>
  </si>
  <si>
    <t>Crime and Safety in the Rural : Lessons from Research</t>
  </si>
  <si>
    <t>Ceccato, Vania</t>
  </si>
  <si>
    <t>The Road to General Intelligence</t>
  </si>
  <si>
    <t>Swan, Jerry</t>
  </si>
  <si>
    <t>Interdisciplinary Explorations of Postmortem Interaction : Dead Bodies, Funerary Objects, and Burial Spaces Through Texts and Time</t>
  </si>
  <si>
    <t>Weiss-Krejci, Estella</t>
  </si>
  <si>
    <t>Longer-Term Psychiatric Inpatient Care for Adolescents : A Multidisciplinary Treatment Approach</t>
  </si>
  <si>
    <t>Hazell, Philip</t>
  </si>
  <si>
    <t>We Were All in Adam : The Unity of Mankind in Adam in the Teaching of the Church Fathers</t>
  </si>
  <si>
    <t>Przyszychowska, Marta</t>
  </si>
  <si>
    <t>City, Climate, and Architecture : A Theory of Collective Practice</t>
  </si>
  <si>
    <t>Roesler, Sascha</t>
  </si>
  <si>
    <t>Writing Systems and Their Use : An Overview of Grapholinguistics</t>
  </si>
  <si>
    <t>Meletis, Dimitrios</t>
  </si>
  <si>
    <t>Time and Soul : From Aristotle to St. Augustine</t>
  </si>
  <si>
    <t>Zachhuber, Johannes</t>
  </si>
  <si>
    <t>Possession and Dispossession : Performing Jewish Ethnography in Jerusalem</t>
  </si>
  <si>
    <t>Mauas, Lea</t>
  </si>
  <si>
    <t>Coping with Urban Climates : Comparative Perspectives on Architecture and Thermal Governance</t>
  </si>
  <si>
    <t>Co-Corporeality of Humans, Machines, and Microbes</t>
  </si>
  <si>
    <t>Imhof, Barbara</t>
  </si>
  <si>
    <t>Process Mining Handbook</t>
  </si>
  <si>
    <t>van der Aalst, Wil M. P.</t>
  </si>
  <si>
    <t>Glocal Governance : How to Govern in the Anthropocene?</t>
  </si>
  <si>
    <t>New Social Mobility : Second Generation Pioneers in Europe</t>
  </si>
  <si>
    <t>Schneider, Jens</t>
  </si>
  <si>
    <t>The Responsibility of Science</t>
  </si>
  <si>
    <t>Mieg, Harald A.</t>
  </si>
  <si>
    <t>Governing the Sustainable Development Goals : Quantification in Global Public Policy</t>
  </si>
  <si>
    <t>Bandola-Gill, Justyna</t>
  </si>
  <si>
    <t>Understanding L2 Proficiency : Theoretical and Meta-Analytic Investigations</t>
  </si>
  <si>
    <t>Jeon, Eun Hee</t>
  </si>
  <si>
    <t>Bewusst im Paradies: Kitsch und Reflexivität</t>
  </si>
  <si>
    <t>Küpper, Thomas</t>
  </si>
  <si>
    <t>Queer Turkey : Transnational Poetics of Desire</t>
  </si>
  <si>
    <t>Poole, Ralph J.</t>
  </si>
  <si>
    <t>Verknüpfte Modernitäten : Brasilianisch-deutsche Interferenzen in Bezug auf Kulturpolitik und Menschenbild in der Nachkriegszeit</t>
  </si>
  <si>
    <t>Neubauer, Susanne</t>
  </si>
  <si>
    <t>Helfen : Situative und organisationale Ausprägungen einer unterbestimmten Praxis</t>
  </si>
  <si>
    <t>Böhringer, Daniela</t>
  </si>
  <si>
    <t>»Transforming our World« - Zukunftsdiskurse zur Umsetzung der UN-Agenda 2030</t>
  </si>
  <si>
    <t>Meyer, Christiane</t>
  </si>
  <si>
    <t>Archives, Access and Artificial Intelligence : Working with Born-Digital and Digitized Archival Collections</t>
  </si>
  <si>
    <t>Jaillant, Lise</t>
  </si>
  <si>
    <t>Campus Medius: Digitales Kartografieren in den Kultur- und Medienwissenschaften</t>
  </si>
  <si>
    <t>Ganahl, Simon</t>
  </si>
  <si>
    <t>Campus Medius: Digital Mapping in Cultural and Media Studies</t>
  </si>
  <si>
    <t>Convivial Futures : Views from a Post-Growth Tomorrow</t>
  </si>
  <si>
    <t>Lokal extrem Rechts : Analysen alltäglicher Vergesellschaftungen</t>
  </si>
  <si>
    <t>Mullis, Daniel</t>
  </si>
  <si>
    <t>Mit Adorno im Tonstudio : Zur Soziologie der Musikproduktion</t>
  </si>
  <si>
    <t>Waldecker, David</t>
  </si>
  <si>
    <t>Schauplätze des Reparierens und Selbermachens : Über neue urbane Infrastrukturen der Sorge und der Suffizienz in Wien</t>
  </si>
  <si>
    <t>Jonas, Michael</t>
  </si>
  <si>
    <t>Repräsentation - Partizipation - Zugänglichkeit : Theorie und Praxis gesellschaftlicher Einbindung in Museen und Ausstellungen</t>
  </si>
  <si>
    <t>Büchel, Julia</t>
  </si>
  <si>
    <t>Culture^2 : Theorizing Theory for the Twenty-First Century, Vol. 1</t>
  </si>
  <si>
    <t>Kelleter, Frank</t>
  </si>
  <si>
    <t>Demenz im Quartier : Ehrenamt und Sozialraumorientierung für das Alter</t>
  </si>
  <si>
    <t>Gronemeyer, Reimer</t>
  </si>
  <si>
    <t>Gender Studies im Dialog : Transnationale und transdisziplinäre Perspektiven</t>
  </si>
  <si>
    <t>Artwinska, Anna</t>
  </si>
  <si>
    <t>Heimat. Volkstum. Architektur : Sondierungen zum volkstumsorientierten Bauen der Heimatschutz-Bewegung im Kontext der Moderne und des Nationalsozialismus</t>
  </si>
  <si>
    <t>Schmitz, Rainer</t>
  </si>
  <si>
    <t>Zwischen Anstalt und Schule : Eine Wissensgeschichte der Erziehung »schwachsinniger« Kinder in Berlin, 1845-1914</t>
  </si>
  <si>
    <t>Garz, Jona Tomke</t>
  </si>
  <si>
    <t>Geschichte der Sklaverei in der niederländischen Republik : Recht, Rassismus und die Handlungsmacht Schwarzer Menschen und People of Color, 1680-1863</t>
  </si>
  <si>
    <t>Holzmann, Julia</t>
  </si>
  <si>
    <t>América Latina en la vorágine de la crisis : Extractivismos y alternativas</t>
  </si>
  <si>
    <t>Veltmeyer, Henry</t>
  </si>
  <si>
    <t>Wider die Geschichtsvergessenheit : Inszenierte Geschichte - historische Differenz - kritisches Bewusstsein</t>
  </si>
  <si>
    <t>Febel, Gisela</t>
  </si>
  <si>
    <t>Lexicon of Global Melodrama</t>
  </si>
  <si>
    <t>Hochschulen in der Pandemie : Impulse für eine nachhaltige Entwicklung von Studium und Lehre</t>
  </si>
  <si>
    <t>Angenent, Holger</t>
  </si>
  <si>
    <t>Organisationaler Wandel durch Migration? : Zur Diversität in der Zivilgesellschaft</t>
  </si>
  <si>
    <t>Unger, Hella von</t>
  </si>
  <si>
    <t>»Failed« Migratory Adventures? : Malian Men Facing Conditions Post Deportation in Southern Mali</t>
  </si>
  <si>
    <t>Schultz, Susanne U.</t>
  </si>
  <si>
    <t>Die Arbeit am Ausdruck : Zur ästhetischen Dimension von Bildung. Eine artikulationstheoretische Annäherung</t>
  </si>
  <si>
    <t>Park, Anna</t>
  </si>
  <si>
    <t>Fremdheitserfahrungen und Othering : Ordnungen des »Eigenen« und »Fremden« in interreligiöser Bildung</t>
  </si>
  <si>
    <t>Freuding, Janosch</t>
  </si>
  <si>
    <t>Sozialkapital intersektional : Eine empirische Untersuchung an der Schnittstelle Behinderung und Migration</t>
  </si>
  <si>
    <t>Hinni, Chantal</t>
  </si>
  <si>
    <t>Cybersicherheit in Innen- und Außenpolitik : Deutsche und britische Policies im Vergleich</t>
  </si>
  <si>
    <t>Steiger, Stefan</t>
  </si>
  <si>
    <t>Minimalismus - Ein Reader</t>
  </si>
  <si>
    <t>Derwanz, Heike</t>
  </si>
  <si>
    <t>»Doing market« - Unternehmerische Praxis und der Diskurs um »ethnische Ökonomie« im Markt für muslimische Mode in Berlin</t>
  </si>
  <si>
    <t>Birnbauer, Robert</t>
  </si>
  <si>
    <t>Adoleszenz und Alterität : Aktuelle Perspektiven der interkulturellen Literaturwissenschaft und Literaturdidaktik</t>
  </si>
  <si>
    <t>Jakobi, Stefanie</t>
  </si>
  <si>
    <t>Academics in Exile : Networks, Knowledge Exchange and New Forms of Internationalization</t>
  </si>
  <si>
    <t>Axyonova, Vera</t>
  </si>
  <si>
    <t>Migrationsforschung (inter)disziplinär : Eine anwendungsorientierte Einführung</t>
  </si>
  <si>
    <t>Schmitz-Vardar, Merve</t>
  </si>
  <si>
    <t>Scale Matters : The Quality of Quantity in Human Culture and Sociality</t>
  </si>
  <si>
    <t>Widlok, Thomas</t>
  </si>
  <si>
    <t>Critical by Design? : Genealogies, Practices, Positions</t>
  </si>
  <si>
    <t>Mareis, Claudia</t>
  </si>
  <si>
    <t>Das Karussell - Schwindel, Tausch und Täuschung : Szenen einer Medienphilosophie</t>
  </si>
  <si>
    <t>Bohn, Ralf</t>
  </si>
  <si>
    <t>Beyond Narrative : Exploring Narrative Liminality and Its Cultural Work</t>
  </si>
  <si>
    <t>Herrmann, Sebastian M.</t>
  </si>
  <si>
    <t>Diffraktionsereignisse der Gegenwart : Feministische Medienkunst trifft Neuen Materialismus</t>
  </si>
  <si>
    <t>Kronberger, Alisa</t>
  </si>
  <si>
    <t>Aus der Nacht in den Tag : Ein philosophisches Plädoyer für die plurale Gesellschaft</t>
  </si>
  <si>
    <t>Widerständige Ressource : Typologie und Gebrauch historischer Bauernhäuser</t>
  </si>
  <si>
    <t>Lüder, Ines</t>
  </si>
  <si>
    <t>Trauma im Computerspiel : Mediale Repräsentationen mentaler Extremerfahrungen</t>
  </si>
  <si>
    <t>Spies, Thomas</t>
  </si>
  <si>
    <t>Für ein Europa der Übergänge : Interkulturalität und Mehrsprachigkeit in europäischen Kontexten</t>
  </si>
  <si>
    <t>Patrut, Iulia-Karin</t>
  </si>
  <si>
    <t>Afrika im deutschsprachigen Kommunikationsraum : Neue Perspektiven interkultureller Sprach- und Literaturforschung</t>
  </si>
  <si>
    <t>Heinz, Friederike</t>
  </si>
  <si>
    <t>Musikvermittlung lernen : Analysen und Empfehlungen zur Aus- und Weiterbildung von Musiker_innen</t>
  </si>
  <si>
    <t>Petri-Preis, Axel</t>
  </si>
  <si>
    <t>The Notion of »holy« in Ancient Armenian Texts from the Fifth Century CE : A Comparative Approach Using Digital Tools and Methods</t>
  </si>
  <si>
    <t>Jurczyk, Thomas</t>
  </si>
  <si>
    <t>Patientenpolitiken : Zur Genealogie eines kollektiven Subjekts</t>
  </si>
  <si>
    <t>Gerhards, Helene</t>
  </si>
  <si>
    <t>Die Entdeckung der Gestaltbarkeit : Gesellschaftstheorien bei Alexis de Tocqueville, Karl Marx und Max Weber</t>
  </si>
  <si>
    <t>Baumert, Felix</t>
  </si>
  <si>
    <t>Now! Die Welt gemeinsam gestalten. Bildung neu denken : Das Morgenmachen-Lesebuch</t>
  </si>
  <si>
    <t>Risikodemokratie : Chemnitz zwischen rechtsradikalem Brennpunkt und europäischer Kulturhauptstadt</t>
  </si>
  <si>
    <t>Brichzin, Jenni</t>
  </si>
  <si>
    <t>Public Space in Transition : Co-production and Co-management of Privately Owned Public Space in Seoul and Berlin</t>
  </si>
  <si>
    <t>Lee, Dahae</t>
  </si>
  <si>
    <t>Grenzjustierungen - Bildungsbiografien Zugewanderter zwischen Qualifikation und Re-Qualifizierung</t>
  </si>
  <si>
    <t>Prekodravac, Milena</t>
  </si>
  <si>
    <t>Die kurdische Frage in der Türkei : Über die gewaltsame Durchsetzung von Nationalstaatlichkeit</t>
  </si>
  <si>
    <t>Küpeli, Ismail</t>
  </si>
  <si>
    <t>Über-Menschen : Philosophische Auseinandersetzung mit der Anthropologie des Transhumanismus</t>
  </si>
  <si>
    <t>Puzio, Anna</t>
  </si>
  <si>
    <t>»Mehr Fortschritt wagen«? : Parteien, Personen, Milieus und Modernisierung: Regieren in Zeiten der Ampelkoalition</t>
  </si>
  <si>
    <t>Bergmann, Knut</t>
  </si>
  <si>
    <t>Liberalismus neu denken : Freiheitliche Antworten auf die Herausforderungen unserer Zeit</t>
  </si>
  <si>
    <t>Fücks, Ralf</t>
  </si>
  <si>
    <t>Die Ampelkoalition : Wie wird aus unterschiedlichen Zielen ein gemeinsames Regierungsprogramm?</t>
  </si>
  <si>
    <t>Lehmann, Pola</t>
  </si>
  <si>
    <t>Widerstand als Selbstbehauptung : »Gefährdete« Jugendliche im Übergangs- und Berufsbildungssystem</t>
  </si>
  <si>
    <t>Preite, Luca</t>
  </si>
  <si>
    <t>Politischer Rassismus in der post-homogenen Gesellschaft : Eine postkoloniale Kritik</t>
  </si>
  <si>
    <t>Laing, Lorenz Narku</t>
  </si>
  <si>
    <t>Friedensgutachten 2022 : Friedensfähig in Kriegszeiten</t>
  </si>
  <si>
    <t>Deutschland und seine Flüchtlinge : Das Wechselbad der Diskurse im langen Sommer der Flucht 2015</t>
  </si>
  <si>
    <t>Becker, Uwe</t>
  </si>
  <si>
    <t>Security in Computer and Information Sciences : Second International Symposium, EuroCybersec 2021, Nice, France, October 25-26, 2021, Revised Selected Papers</t>
  </si>
  <si>
    <t>Gelenbe, Erol</t>
  </si>
  <si>
    <t>A Study of Crisis</t>
  </si>
  <si>
    <t>Brecher, Michael</t>
  </si>
  <si>
    <t>Supercomputing Frontiers : 7th Asian Conference, SCFA 2022, Singapore, March 1-3, 2022, Proceedings</t>
  </si>
  <si>
    <t>Panda, Dhabaleswar K.</t>
  </si>
  <si>
    <t>Human-Nature Interactions : Exploring Nature's Values Across Landscapes</t>
  </si>
  <si>
    <t>Misiune, Ieva</t>
  </si>
  <si>
    <t>Der Beitrag des Design Thinking Zur Marktorientierten Unternehmensführung : Ein Mindsetorientierter Analyseansatz</t>
  </si>
  <si>
    <t>Kiefer, Iphigenie Leandra</t>
  </si>
  <si>
    <t>Innovative Tools and Methods Using BIM for an Efficient Renovation in Buildings</t>
  </si>
  <si>
    <t>Daniotti, Bruno</t>
  </si>
  <si>
    <t>Systems Mapping : How to Build and Use Causal Models of Systems</t>
  </si>
  <si>
    <t>Barbrook-Johnson, Pete</t>
  </si>
  <si>
    <t>Applying Reflective Equilibrium : Towards the Justification of a Precautionary Principle</t>
  </si>
  <si>
    <t>Rechnitzer, Tanja</t>
  </si>
  <si>
    <t>Stem Cell Transplantations Between Siblings As Social Phenomena : The Child's Body and Family Decision-Making</t>
  </si>
  <si>
    <t>Schües, Christina</t>
  </si>
  <si>
    <t>Agriculture for Economic Development in Africa : Evidence from Ethiopia</t>
  </si>
  <si>
    <t>Rohne Till, Emelie</t>
  </si>
  <si>
    <t>Kommunikation Von Aufsichtsratsvorsitzenden : Grundlagen - Strukturen - Ziele - Management</t>
  </si>
  <si>
    <t>Binder-Tietz, Sandra</t>
  </si>
  <si>
    <t>How Data Quality Affects Our Understanding of the Earnings Distribution</t>
  </si>
  <si>
    <t>Daniels, Reza Che</t>
  </si>
  <si>
    <t>Krisenmanagement Am Beispiel der Flüchtlingslage 2015/2016 : Akteure, Zusammenarbeit und der Umgang Mit Wissen</t>
  </si>
  <si>
    <t>Schütte, Patricia M.</t>
  </si>
  <si>
    <t>Pflege-Report 2022 : Spezielle Versorgungslagen in der Langzeitpflege</t>
  </si>
  <si>
    <t>The Enactment of Strategic Leadership : A Critical Perspective</t>
  </si>
  <si>
    <t>Tipurić, Darko</t>
  </si>
  <si>
    <t>Migration in West Africa : IMISCOE Regional Reader</t>
  </si>
  <si>
    <t>Teye, Joseph Kofi</t>
  </si>
  <si>
    <t>The Logical Writings of Karl Popper</t>
  </si>
  <si>
    <t>Binder, David</t>
  </si>
  <si>
    <t>Cultura Literaria y Políticas de Mercado : Editoriales, Ferias y Festivales</t>
  </si>
  <si>
    <t>Gallego Cuiñas, Ana</t>
  </si>
  <si>
    <t>Gefährliche Forschung? : Eine Debatte über Gleichheit und Differenz in der Wissenschaft</t>
  </si>
  <si>
    <t>Glaube, Wissenschaft, Sprache : Eine Diachronische Studie Zur Protestantisch-Theologischen Fachsprache Im 20. Jahrhundert</t>
  </si>
  <si>
    <t>Gerdes, Joachim</t>
  </si>
  <si>
    <t>Sprache(n) in Pädagogischen Settings</t>
  </si>
  <si>
    <t>Kainhofer, Judith</t>
  </si>
  <si>
    <t>Grundrechte : Klausur- und Examensfälle</t>
  </si>
  <si>
    <t>Acetylsalicylic Acid</t>
  </si>
  <si>
    <t>Schrör, Karsten</t>
  </si>
  <si>
    <t>Thinking Narratively : Between Novel-Essay and Narrative Essay</t>
  </si>
  <si>
    <t>Fusillo, Massimo</t>
  </si>
  <si>
    <t>Poéticas Espectatoriales en Hispanoamérica y Brasil (1800-1847) : Ilustración - Emancipación - Convivencias Excluyentes</t>
  </si>
  <si>
    <t>Fernández, Hans</t>
  </si>
  <si>
    <t>Argumentationen über Den Klimawandel in Schweizer Medien : Entwicklung Einer Sektoralen Argumentationstheorie und -Typologie Für Den Diskurs über Klimawandel Zwischen 2007 Und 2014</t>
  </si>
  <si>
    <t>Kammermann, Nadine</t>
  </si>
  <si>
    <t>Narratologie und Vormoderne Japanische Literatur : Theoretische Grundlagen, Forschungskritik und Sprachlich Bedingte Charakteristika Japanischer Erzähltexte des 10. Bis 14. Jahrhunderts</t>
  </si>
  <si>
    <t>Balmes, Sebastian</t>
  </si>
  <si>
    <t>Handlungskoordination in der Lernwelt Hochschule : Rahmenbedingungen Kompetenzorientierter Lehre</t>
  </si>
  <si>
    <t>A Generalization of Bohr-Mollerup's Theorem for Higher Order Convex Functions</t>
  </si>
  <si>
    <t>Marichal, Jean-Luc</t>
  </si>
  <si>
    <t>Novel Developments for Sustainable Hydropower</t>
  </si>
  <si>
    <t>Rutschmann, Peter</t>
  </si>
  <si>
    <t>Bioethics and the Holocaust : A Comprehensive Study in How the Holocaust Continues to Shape the Ethics of Health, Medicine and Human Rights</t>
  </si>
  <si>
    <t>Gallin, Stacy</t>
  </si>
  <si>
    <t>Transport Corridors in Africa</t>
  </si>
  <si>
    <t>Lamarque, Hugh</t>
  </si>
  <si>
    <t>The Institutional Compass: Method, Use and Scope</t>
  </si>
  <si>
    <t>Friend, Michèle Indira</t>
  </si>
  <si>
    <t>European Parliament's Political Groups in Turbulent Times</t>
  </si>
  <si>
    <t>Ahrens, Petra</t>
  </si>
  <si>
    <t>Emerging Technologies : Value Creation for Sustainable Development</t>
  </si>
  <si>
    <t>Küfeoğlu, Sinan</t>
  </si>
  <si>
    <t>Migration Research in a Digitized World : Using Innovative Technology to Tackle Methodological Challenges</t>
  </si>
  <si>
    <t>Pötzschke, Steffen</t>
  </si>
  <si>
    <t>How and Why to Regulate False Political Advertising in Australia</t>
  </si>
  <si>
    <t>Hill, Lisa</t>
  </si>
  <si>
    <t>Proceeding of 2021 International Conference on Wireless Communications, Networking and Applications</t>
  </si>
  <si>
    <t>Qian, Zhihong</t>
  </si>
  <si>
    <t>Home Truths? : Video Production and Domestic Life</t>
  </si>
  <si>
    <t>Buckingham, David</t>
  </si>
  <si>
    <t>The American Literature Scholar in the Digital Age</t>
  </si>
  <si>
    <t>Earhart, Amy E.</t>
  </si>
  <si>
    <t>Deployment and Operation of Complex Software in Heterogeneous Execution Environments : The SODALITE Approach</t>
  </si>
  <si>
    <t>Integrating Data Science and Earth Science : Challenges and Solutions</t>
  </si>
  <si>
    <t>Bouwer, Laurens M.</t>
  </si>
  <si>
    <t>Kantianism for Animals : A Radical Kantian Animal Ethic</t>
  </si>
  <si>
    <t>Müller, Nico Dario</t>
  </si>
  <si>
    <t>Energy Poverty, Practice, and Policy</t>
  </si>
  <si>
    <t>Butler, Catherine</t>
  </si>
  <si>
    <t>Piezoelectric Electromechanical Transducers for Underwater Sound, Part III and IV</t>
  </si>
  <si>
    <t>Empire and Politics in the Eastern and Western Civilizations : Searching for a 'Respublica Romanosinica'</t>
  </si>
  <si>
    <t>300 Jahre Robinson Crusoe : Ein Weltbestseller und Seine Rezeptionsgeschichte</t>
  </si>
  <si>
    <t>Haug, Christine</t>
  </si>
  <si>
    <t>Kellers Erzählen : Strukturen - Funktionen - Reflexionen</t>
  </si>
  <si>
    <t>Theisohn, Philipp</t>
  </si>
  <si>
    <t>Nationalism and Populism : Expressions of Fear or Political Strategies?</t>
  </si>
  <si>
    <t>Schapkow, Carsten</t>
  </si>
  <si>
    <t>Screen Genealogies : From Optical Device to Environmental Medium</t>
  </si>
  <si>
    <t>Buckley, Craig</t>
  </si>
  <si>
    <t>Reimagining Sustainable Organization : Perspectives on Arts, Design, Leadership, Knowledge and Project Management</t>
  </si>
  <si>
    <t>Jevnaker, Birgit Helene</t>
  </si>
  <si>
    <t>Beyond Global Food Supply Chains : Crisis, Disruption, Regeneration</t>
  </si>
  <si>
    <t>Stead, Victoria</t>
  </si>
  <si>
    <t>Notions of Temporalities in Artistic Practice</t>
  </si>
  <si>
    <t>Batista, Anamarija</t>
  </si>
  <si>
    <t>A Short Media History of English Literature</t>
  </si>
  <si>
    <t>Überforderungseinwände in der Ethik</t>
  </si>
  <si>
    <t>Naegeli, Lukas</t>
  </si>
  <si>
    <t>Obstructions in Security-Aware Business Processes : Analysis, Detection, and Handling</t>
  </si>
  <si>
    <t>Holderer, Julius</t>
  </si>
  <si>
    <t>Global Perspectives on Educational Innovations for Emergency Situations</t>
  </si>
  <si>
    <t>Dennen, Vanessa</t>
  </si>
  <si>
    <t>Digital Interaction and Machine Intelligence : Proceedings of MIDI'2021 - 9th Machine Intelligence and Digital Interaction Conference, December 9-10, 2021, Warsaw, Poland</t>
  </si>
  <si>
    <t>Biele, Cezary</t>
  </si>
  <si>
    <t>Innopolis University - from Zero to Hero : Ten Years of Challenges and Victories</t>
  </si>
  <si>
    <t>Mazzara, Manuel</t>
  </si>
  <si>
    <t>Science Et émotion : Le Rôle de l'émotion Dans la Pratique de la Recherche</t>
  </si>
  <si>
    <t>Petit, Emmanuel</t>
  </si>
  <si>
    <t>Case Studies in Biocultural Diversity from Southeast Asia : Traditional Ecological Calendars, Folk Medicine and Folk Names</t>
  </si>
  <si>
    <t>Franco, F. Merlin</t>
  </si>
  <si>
    <t>Evidence Based Global Health Manual for Preterm Birth Risk Assessment</t>
  </si>
  <si>
    <t>Anumba, Dilly Oc</t>
  </si>
  <si>
    <t>Sustainable Food Systems for Food Security : Need for Combination of Local and Global Approaches</t>
  </si>
  <si>
    <t>Thomas, Alban</t>
  </si>
  <si>
    <t>La Fabrique de L'agronomie : De 1945 à Nos Jours</t>
  </si>
  <si>
    <t>Boiffin, Jean</t>
  </si>
  <si>
    <t>Forêts et Changement Climatique : Comprendre et Modéliser le Fonctionnement Hydrique des Arbres</t>
  </si>
  <si>
    <t>Courbet, François</t>
  </si>
  <si>
    <t>Infrastructures de Données Spatiales : Évaluations économiques : Concepts, Méthodes et Retours D'expérience</t>
  </si>
  <si>
    <t>Rey-Valette, Hélène</t>
  </si>
  <si>
    <t>Développer des Projets d'agriculture Urbaine Avec la Méthode Meth-Expau®</t>
  </si>
  <si>
    <t>Bertrand, Lisa</t>
  </si>
  <si>
    <t>Performing Modernism : A Jewish Avant-Garde in Bucharest</t>
  </si>
  <si>
    <t>Chiriac, Alexandra</t>
  </si>
  <si>
    <t>High-Quality Outdoor Learning : Evidence-Based Education Outside the Classroom for Children, Teachers and Society</t>
  </si>
  <si>
    <t>Jucker, Rolf</t>
  </si>
  <si>
    <t>Duale Schriftnutzung: Brailleschrift und Schwarzschrift : Eine Sequenzielle, Explanative Mixed-Methods Studie</t>
  </si>
  <si>
    <t>Winter, Fabian</t>
  </si>
  <si>
    <t>Die Vielen Gestalten des Thomas Hobbes in der Deutung Von Carl Schmitt und Leo Strauss</t>
  </si>
  <si>
    <t>Motuzaite, Ieva</t>
  </si>
  <si>
    <t>Wertorientierungen und Wahlverhalten : Effekte Gesellschaftlicher Wertorientierungen Bei Den Bundestagswahlen 2009 - 2017</t>
  </si>
  <si>
    <t>Wurthmann, L. Constantin</t>
  </si>
  <si>
    <t>Automated Reasoning : 11th International Joint Conference, IJCAR 2022, Haifa, Israel, August 8-10, 2022, Proceedings</t>
  </si>
  <si>
    <t>Blanchette, Jasmin</t>
  </si>
  <si>
    <t>Aktives Altern Im Digitalen Zeitalter : Informations-Kommunikations-Technologie Verstehen, Nutzen und Integrieren</t>
  </si>
  <si>
    <t>Ring-Dimitriou, Susanne</t>
  </si>
  <si>
    <t>Simplicial and Dendroidal Homotopy Theory</t>
  </si>
  <si>
    <t>Heuts, Gijs</t>
  </si>
  <si>
    <t>Computer Aided Verification : 34th International Conference, CAV 2022, Haifa, Israel, August 7-10, 2022, Proceedings, Part II</t>
  </si>
  <si>
    <t>Shoham, Sharon</t>
  </si>
  <si>
    <t>Entwicklung Von Methoden Zur Abstrakten Modellierung Von Automotive Systems-On-Chips</t>
  </si>
  <si>
    <t>Kirchner, Aljoscha</t>
  </si>
  <si>
    <t>Computer Aided Verification : 34th International Conference, CAV 2022, Haifa, Israel, August 7-10, 2022, Proceedings, Part I</t>
  </si>
  <si>
    <t>Angewandte Linguistik Für Sprachberufe</t>
  </si>
  <si>
    <t>ZHAW School of Applied Linguistics, Zhaw School</t>
  </si>
  <si>
    <t>Commentary on Aristotle, Nicomachean Ethics : Critical Edition with Introduction and Translation</t>
  </si>
  <si>
    <t>Pachymeres, Georgios</t>
  </si>
  <si>
    <t>Instrumenta Domestica Aus Pompeji und Ihr Design : Eine Untersuchung Zur Decorativen Gestaltung der Kleinfunde Aus Insula I 10</t>
  </si>
  <si>
    <t>Perspectives on the Self : Reflexivity in the Humanities</t>
  </si>
  <si>
    <t>Kolman, Vojtěch</t>
  </si>
  <si>
    <t>Jewish Life and Culture in Germany After 1945 : Sacred Spaces, Objects and Musical Traditions</t>
  </si>
  <si>
    <t>Keßler, Katrin</t>
  </si>
  <si>
    <t>Schönheitsdiskurse in der Literatur des Mittelalters : Die Propädeutik des Fleisches Zwischen ,aisthesis' Und Ästhetik</t>
  </si>
  <si>
    <t>Scheidel, Fabian David</t>
  </si>
  <si>
    <t>The Expression of Collectivity in Romance Languages : An Empirical Analysis of Nominal Aspectuality with Focus on French</t>
  </si>
  <si>
    <t>Kleineberg, Désirée</t>
  </si>
  <si>
    <t>Navigating Copyright for Libraries : Purpose and Scope</t>
  </si>
  <si>
    <t>Coates, Jessica</t>
  </si>
  <si>
    <t>Konzepte des Jüdischen: Ausstellen, Aufklären, Erinnern : Jüdische Museen und Vermittlungsprojekte Im Alemannischen Sprachraum</t>
  </si>
  <si>
    <t>Pisetzki, Darja Alexandra</t>
  </si>
  <si>
    <t>When Tibetan Meditation Goes Global : A Study of the Adaptation of Bon Religious Practices in the West</t>
  </si>
  <si>
    <t>Arizaga, Mara Lisa</t>
  </si>
  <si>
    <t>Lernwelt Hochschule 2030 : Konzepte und Strategien Für eine Zukünftige Entwicklung</t>
  </si>
  <si>
    <t>Foundations of a Sociology of Canon Law</t>
  </si>
  <si>
    <t>Hahn, Judith</t>
  </si>
  <si>
    <t>Model and Mathematics: from the 19th to the 21st Century</t>
  </si>
  <si>
    <t>Friedman, Michael</t>
  </si>
  <si>
    <t>Recognizing Green Skills Through Non-Formal Learning : A Comparative Study in Asia</t>
  </si>
  <si>
    <t>Pavlova, Margarita</t>
  </si>
  <si>
    <t>Achieving the Paris Climate Agreement Goals : Part 2: Science-Based Target Setting for the Finance Industry -- Net-Zero Sectoral 1. 5˚C Pathways for Real Economy Sectors</t>
  </si>
  <si>
    <t>Teske, Sven</t>
  </si>
  <si>
    <t>The Politics of Bad Governance in Contemporary Russia</t>
  </si>
  <si>
    <t>Gel'man, Vladimir</t>
  </si>
  <si>
    <t>Méliès Boots : Footwear and Film Manufacturing in Second Industrial Revolution Paris</t>
  </si>
  <si>
    <t>Solomon, Matthew</t>
  </si>
  <si>
    <t>While Waiting for Rain : Community, Economy, and Law in a Time of Change</t>
  </si>
  <si>
    <t>Schlegel, John Henry</t>
  </si>
  <si>
    <t>Critical Points for the Organisation of Test Performance Studies in Microbiology : Plant Pathogens As a Case Study</t>
  </si>
  <si>
    <t>Vučurović, Ana</t>
  </si>
  <si>
    <t>Contingent Encounters : Improvisation in Music and Everyday Life</t>
  </si>
  <si>
    <t>DiPiero, Dan</t>
  </si>
  <si>
    <t>Teaching, Research and Academic Careers : An Analysis of the Interrelations and Impacts</t>
  </si>
  <si>
    <t>Checchi, Daniele</t>
  </si>
  <si>
    <t>Die Trade-Offs der Nachhaltigkeit : Eine Forschungsreise Zur Dreiwertigen Logik und Zu Science Constellations</t>
  </si>
  <si>
    <t>Groschupp, Steffen</t>
  </si>
  <si>
    <t>Digital Health Care in Taiwan : Innovations of National Health Insurance</t>
  </si>
  <si>
    <t>Lee, Po-Chang</t>
  </si>
  <si>
    <t>Verwaltung Im Digitalen Zeitalter : Die Rolle Digitaler Kompetenzen in der Personalakquise des Höheren Dienstes</t>
  </si>
  <si>
    <t>Catakli, Derya</t>
  </si>
  <si>
    <t>Moving Across Differences : How Students Engage LGBTQ+ Themes in a High School Literature Class</t>
  </si>
  <si>
    <t>Blackburn, Mollie V.</t>
  </si>
  <si>
    <t>Baltic Hospitality from the Middle Ages to the Twentieth Century : Receiving Strangers in Northeastern Europe</t>
  </si>
  <si>
    <t>Nauman, Sari</t>
  </si>
  <si>
    <t>Migration in South America : IMISCOE Regional Reader</t>
  </si>
  <si>
    <t>Herrera, Gioconda</t>
  </si>
  <si>
    <t>Esperanto - Lingua Franca and Language Community</t>
  </si>
  <si>
    <t>Fiedler, Sabine</t>
  </si>
  <si>
    <t>Hot-Wall MOCVD of N-polar Group-III Nitride Materials and High Electron Mobility Transistor Structures</t>
  </si>
  <si>
    <t>Zhang, Hengfang</t>
  </si>
  <si>
    <t>Forest Bioeconomy and Climate Change</t>
  </si>
  <si>
    <t>Hetemäki, Lauri</t>
  </si>
  <si>
    <t>Planning Cities in Africa : Current Issues and Future Prospects of Urban Governance and Planning</t>
  </si>
  <si>
    <t>Alem Gebregiorgis, Genet</t>
  </si>
  <si>
    <t>Consumer Decision Neuroscience : Ausgewählte Beiträge</t>
  </si>
  <si>
    <t>Gier, Nadine R.</t>
  </si>
  <si>
    <t>Urinary Stents : Current State and Future Perspectives</t>
  </si>
  <si>
    <t>Soria, Federico</t>
  </si>
  <si>
    <t>Creating Chaos Online : Disinformation and Subverted Post-Publics</t>
  </si>
  <si>
    <t>Zelenkauskaite, Asta</t>
  </si>
  <si>
    <t>Manuscript and Print in the Islamic Tradition</t>
  </si>
  <si>
    <t>Reese, Scott</t>
  </si>
  <si>
    <t>International Handbook of Practical Theology</t>
  </si>
  <si>
    <t>Weyel, Birgit</t>
  </si>
  <si>
    <t>Gender in der Deutschsprachigen Kinder- und Jugendliteratur : Vom Mittelalter Bis Zur Gegenwart</t>
  </si>
  <si>
    <t>Willms, Weertje</t>
  </si>
  <si>
    <t>On the Way to The (un)Known ? : The Ottoman Empire in Travelogues (C. 1450-1900)</t>
  </si>
  <si>
    <t>Gruber, Doris</t>
  </si>
  <si>
    <t>Primitive Thinking : Figuring Alterity in German Modernity</t>
  </si>
  <si>
    <t>Gess, Nicola</t>
  </si>
  <si>
    <t>Unruly Narrative : Private Property, Self-Making, and Toni Morrison's a Mercy</t>
  </si>
  <si>
    <t>Spatzek, Samira</t>
  </si>
  <si>
    <t>Photographing Central Asia : From the Periphery of the Russian Empire to Global Presence</t>
  </si>
  <si>
    <t>Gorshenina, Svetlana</t>
  </si>
  <si>
    <t>Staatsorganisationsrecht : Klausur- und Examenswissen</t>
  </si>
  <si>
    <t>Chiofalo, Valentina</t>
  </si>
  <si>
    <t>Juden und Ihre Nachbarn : Die Wissenschaft des Judentums Im Kontext Von Diaspora und Migration</t>
  </si>
  <si>
    <t>Schoor, Kerstin</t>
  </si>
  <si>
    <t>Culture As Soft Power : Bridging Cultural Relations, Intellectual Cooperation, and Cultural Diplomacy</t>
  </si>
  <si>
    <t>Carbó-Catalan, Elisabet</t>
  </si>
  <si>
    <t>Digital History : Konzepte, Methoden und Kritiken Digitaler Geschichtswissenschaft</t>
  </si>
  <si>
    <t>Döring, Karoline Dominika</t>
  </si>
  <si>
    <t>On Electrified Fluid Power Systems in Mobile Machinery</t>
  </si>
  <si>
    <t>Kärnell, Samuel</t>
  </si>
  <si>
    <t>Moraliska Illusioner</t>
  </si>
  <si>
    <t>Hansson, Kajsa</t>
  </si>
  <si>
    <t>On Machine Learning-Based Control for Energy Management in Construction Machines</t>
  </si>
  <si>
    <t>Raduenz, Henrique</t>
  </si>
  <si>
    <t>Does God Intend That Sin Occur?</t>
  </si>
  <si>
    <t>Hart, Matthew J.</t>
  </si>
  <si>
    <t>Der Staat Als ,Guter Auftraggeber'? Öffentliche Auftragsvergabe Zwischen Vermarktlichung und Sozialpolitisierung</t>
  </si>
  <si>
    <t>Jaehrling, Karen</t>
  </si>
  <si>
    <t>Psychology, Learning, Technology : First International Conference, PLT 2022, Foggia, Italy, January 19-21, 2022, Revised Selected Papers</t>
  </si>
  <si>
    <t>Limone, Pierpaolo</t>
  </si>
  <si>
    <t>Youth Suicide Prevention and Intervention : Best Practices and Policy Implications</t>
  </si>
  <si>
    <t>Ackerman, John P.</t>
  </si>
  <si>
    <t>Die Individuelle Mathematische Kreativität Von Schulkindern : Theoretische Grundlegung und Empirische Befunde Zur Kreativität Von Erstklässler*innen</t>
  </si>
  <si>
    <t>Bruhn, Svenja</t>
  </si>
  <si>
    <t>Migration and Domestic Work : IMISCOE Short Reader</t>
  </si>
  <si>
    <t>Marchetti, Sabrina</t>
  </si>
  <si>
    <t>Analysis of Reaction-Diffusion Models with the Taxis Mechanism</t>
  </si>
  <si>
    <t>Ke, Yuanyuan</t>
  </si>
  <si>
    <t>Kosten der Hubschraubergestützten Notfallversorgung : Innovationsbasierte Szenarioanalyse und Empfehlungen Zur Gestaltung Von Luftrettungssystemen</t>
  </si>
  <si>
    <t>Röper, Johann W. A.</t>
  </si>
  <si>
    <t>Past, Present and Future of a Habitable Earth : The Development Strategy of Earth Science 2021 To 2030</t>
  </si>
  <si>
    <t>Res. Group Dev Strategy of Earth Science</t>
  </si>
  <si>
    <t>Moralische Dimensionen der Verletzlichkeit des Menschen : Interdisziplinäre Perspektiven Auf Einen Anthropologischen Grundbegriff und Seine Relevanz Für Die Medizinethik</t>
  </si>
  <si>
    <t>Coors, Michael</t>
  </si>
  <si>
    <t>Contributions to Improving Feedback and Trust in Automated Testing and Continuous Integration and Delivery</t>
  </si>
  <si>
    <t>Ahmad, Azeem</t>
  </si>
  <si>
    <t>Prediction Methods for High Dimensional Data with Censored Covariates</t>
  </si>
  <si>
    <t>Svahn, Caroline</t>
  </si>
  <si>
    <t>Rethinking Secular Time in Victorian England</t>
  </si>
  <si>
    <t>Fisher-Høyrem, Stefan</t>
  </si>
  <si>
    <t>Droplet Dynamics under Extreme Ambient Conditions</t>
  </si>
  <si>
    <t>Schulte, Kathrin</t>
  </si>
  <si>
    <t>The Pilgrim's Guide to the Workplace</t>
  </si>
  <si>
    <t>Chevez, Agustin</t>
  </si>
  <si>
    <t>Nontoxic: Masculinity, Allyship, and Feminist Philosophy</t>
  </si>
  <si>
    <t>Almassi, Ben</t>
  </si>
  <si>
    <t>Corporate Diplomacy: How Multinational Corporations Gain Organizational Legitimacy : A Neo-Institutional Public Relations Perspective</t>
  </si>
  <si>
    <t>Marschlich, Sarah</t>
  </si>
  <si>
    <t>Managing Great Power Politics : ASEAN, Institutional Strategy, and the South China Sea</t>
  </si>
  <si>
    <t>Koga, Kei</t>
  </si>
  <si>
    <t>Axial Spondyloarthritis: Patient-Reported Impact in Europe</t>
  </si>
  <si>
    <t>Garrido-Cumbrera, Marco</t>
  </si>
  <si>
    <t>Higher Degree by Research : Factors for Indigenous Student Success</t>
  </si>
  <si>
    <t>Anderson, Peter</t>
  </si>
  <si>
    <t>Old Ways for New Days : Indigenous Survival and Agency in Climate Changed Times</t>
  </si>
  <si>
    <t>Nursey-Bray, Melissa</t>
  </si>
  <si>
    <t>Fertility Transition in the Developing World</t>
  </si>
  <si>
    <t>Bongaarts, John</t>
  </si>
  <si>
    <t>Times of Insight: Conscience, Corporations, and the Common Good</t>
  </si>
  <si>
    <t>Goodpaster, Kenneth E.</t>
  </si>
  <si>
    <t>Electronic Voting : 7th International Joint Conference, e-Vote-ID 2022, Bregenz, Austria, October 4-7, 2022, Proceedings</t>
  </si>
  <si>
    <t>Reflective Structural Colors and Their Actuation Using Electroactive Conducting Polymers</t>
  </si>
  <si>
    <t>Rossi, Stefano</t>
  </si>
  <si>
    <t>Kinetic Monte Carlo Modelling of Organic Photovoltaic Devices</t>
  </si>
  <si>
    <t>Upreti, Tanvi</t>
  </si>
  <si>
    <t>Making Sense of Immigrant Work Integration : An Organizing Framework</t>
  </si>
  <si>
    <t>Nardon, Luciara</t>
  </si>
  <si>
    <t>Constitutional Change in the European Union : Towards a Federal Europe</t>
  </si>
  <si>
    <t>Duff, Andrew</t>
  </si>
  <si>
    <t>An Introduction to the Mechanics of Incompressible Fluids</t>
  </si>
  <si>
    <t>Deville, Michel O.</t>
  </si>
  <si>
    <t>Mathematical Surprises</t>
  </si>
  <si>
    <t>Ben-Ari, Mordechai</t>
  </si>
  <si>
    <t>Data Spaces : Design, Deployment and Future Directions</t>
  </si>
  <si>
    <t>Introduction to Development Engineering : A Framework with Applications from the Field</t>
  </si>
  <si>
    <t>Madon, Temina</t>
  </si>
  <si>
    <t>,,Seelenbeschreibungen : Eine Frühneuzeitliche Quellengattung und Ihr Konfessions- und Bildungsgeschichtlicher Kontext</t>
  </si>
  <si>
    <t>Schmidt, Heinrich Richard</t>
  </si>
  <si>
    <t>Lascivia Mascherata : Allegoria e Travestimento in Torquato Tasso e Giovan Battista Marino</t>
  </si>
  <si>
    <t>Fingerle, Maddalena</t>
  </si>
  <si>
    <t>Krishna Sobti's Views on Literature and the Poetics of Writing : Theoretical Positions and Literary Practice in Modern Hindi Literature</t>
  </si>
  <si>
    <t>Vuille, Rosine-Alice</t>
  </si>
  <si>
    <t>Internalisierbare Mengenbilder Im Individualisierten Mathematikunterricht : Eine Studie Zur Entwicklung Eines Lernmaterials Für Personen Mit Besonderheiten in der Simultanerfassung</t>
  </si>
  <si>
    <t>Rieckmann, Torben</t>
  </si>
  <si>
    <t>A Guide to Additive Manufacturing</t>
  </si>
  <si>
    <t>Godec, Damir</t>
  </si>
  <si>
    <t>The Ethical Spirit of EU Values : Status Quo of the Union of Values and Future Direction of Travel</t>
  </si>
  <si>
    <t>Frischhut, Markus</t>
  </si>
  <si>
    <t>Informal Livelihoods and Governance in South Africa : The Hustle</t>
  </si>
  <si>
    <t>Jinnah, Zaheera</t>
  </si>
  <si>
    <t>Women Architects and Politics : Intersections between Gender, Power Structures and Architecture in the Long 20th Century</t>
  </si>
  <si>
    <t>Pepchinski, Mary</t>
  </si>
  <si>
    <t>Platformization of Urban Life : Towards a Technocapitalist Transformation of European Cities</t>
  </si>
  <si>
    <t>Strüver, Anke</t>
  </si>
  <si>
    <t>Digital Humanism : For a Humane Transformation of Democracy, Economy and Culture in the Digital Age</t>
  </si>
  <si>
    <t>Values for a Post-Pandemic Future</t>
  </si>
  <si>
    <t>Dennis, Matthew J.</t>
  </si>
  <si>
    <t>Personalentwicklung in Schulen Als Führungsaufgabe : Eine Bestandsaufnahme in Den ländern der Bundesrepublik Deutschland</t>
  </si>
  <si>
    <t>Thiel, Felicitas</t>
  </si>
  <si>
    <t>Doing Transitions in the Life Course : Processes and Practices</t>
  </si>
  <si>
    <t>Stauber, Barbara</t>
  </si>
  <si>
    <t>Systemleichtbau Für Die Luftfahrt</t>
  </si>
  <si>
    <t>Wiedemann, Martin</t>
  </si>
  <si>
    <t>Gemeinsam Gegen Deutschland : Warschaus Jiddische Presse Im Kampf Gegen Den Nationalsozialismus (1930-1941)</t>
  </si>
  <si>
    <t>Klotz, Anne-Christin</t>
  </si>
  <si>
    <t>Towards a New Enlightenment - The Case for Future-Oriented Humanities</t>
  </si>
  <si>
    <t>Gabriel, Markus</t>
  </si>
  <si>
    <t>Novel Foods and Edible Insects in the European Union : An Interdisciplinary Analysis</t>
  </si>
  <si>
    <t>Scaffardi, Lucia</t>
  </si>
  <si>
    <t>Probiotics and Prebiotics in Extremely Preterm Infants</t>
  </si>
  <si>
    <t>Wejryd, Erik</t>
  </si>
  <si>
    <t>Cattle Shipments and Disease Spread Modeling</t>
  </si>
  <si>
    <t>Brommesson, Peter</t>
  </si>
  <si>
    <t>On PLL Modeling and Design in Nanometer‐Scale CMOS</t>
  </si>
  <si>
    <t>Jakobsson, Anders</t>
  </si>
  <si>
    <t>Foundations of Robotics : A Multidisciplinary Approach with Python and ROS</t>
  </si>
  <si>
    <t>Herath, Damith</t>
  </si>
  <si>
    <t>Untersuchungen zum deutschen Vertriebenen- und Flüchtlingsproblem. : Zweite Abteilung: Einzeldarstellungen. II: Albrecht, Gerhard unter Mitarbeit von H.-W. Behnke - R. Burchard: Die wirtschaftliche Eingliederung der Heimatvertriebenen in Hessen.</t>
  </si>
  <si>
    <t>Duncker &amp; Humblot</t>
  </si>
  <si>
    <t>Pfister, Bernhard</t>
  </si>
  <si>
    <t>Untersuchungen zum deutschen Vertriebenen- und Flüchtlingsproblem. : Erste Abteilung: Grundfragen. I: Arndt, Helmut: Die volkswirtschaftliche Eingliederung eines Bevölkerungszustromes. Wirtschaftstheoretische Einführung in das Vertriebenen- und Flüchtlingsproblem.</t>
  </si>
  <si>
    <t>Beiträge zur Produktions- und Wachstumstheorie.</t>
  </si>
  <si>
    <t>Krelle, Wilhelm</t>
  </si>
  <si>
    <t>Beiträge zur Theorie der öffentlichen Ausgaben.</t>
  </si>
  <si>
    <t>Timm, Herbert</t>
  </si>
  <si>
    <t>Beiträge zur Theorie der Produktion und der Einkommensverteilung.</t>
  </si>
  <si>
    <t>Schneider, Erich</t>
  </si>
  <si>
    <t>Deutschland und die Weltwirtschaft. : Verhandlungen auf der Tagung des Vereins für Socialpolitik in Bad Nauheim 1954.</t>
  </si>
  <si>
    <t>Albrecht, Gerhard</t>
  </si>
  <si>
    <t>Untersuchungen zum deutschen Vertriebenen- und Flüchtlingsproblem. : Zweite Abteilung: Einzeldarstellungen. V: Edding, Friedrich: Die wirtschaftliche Eingliederung der Vertriebenen und Flüchtlinge in Schleswig-Holstein.</t>
  </si>
  <si>
    <t>Untersuchungen einzelner Entwicklungsländer. : Peru, Tunesien, Ägypten und Syrien.</t>
  </si>
  <si>
    <t>Stucken, Rudolf</t>
  </si>
  <si>
    <t>Entwicklungsbedingungen und Entwicklungschancen der Republik Sudan.</t>
  </si>
  <si>
    <t>Untersuchungen zum deutschen Vertriebenen- und Flüchtlingsproblem. : Zweite Abteilung: Einzeldarstellungen. IV: Esenwein-Rothe, Ingeborg: Die Eingliederung der Flüchtlinge in die Stadtstaaten Bremen und Hamburg.</t>
  </si>
  <si>
    <t>Wirtschaftsverbände und Wirtschaftspolitik. : Esenwein-Rothe, Ingeborg: Die Wirtschaftsverbände von 1933 bis 1945.</t>
  </si>
  <si>
    <t>Predöhl, Andreas</t>
  </si>
  <si>
    <t>Kommunale Finanzen und Finanzausgleich.</t>
  </si>
  <si>
    <t>Beiträge zur Multiplikatortheorie.</t>
  </si>
  <si>
    <t>Zur Grundlegung wirtschaftspolitischer Konzeptionen.</t>
  </si>
  <si>
    <t>Seraphim, Hans-Jürgen</t>
  </si>
  <si>
    <t>Optimales Wachstum und Optimale Standortverteilung.</t>
  </si>
  <si>
    <t>Kapitalbildung und Kapitalverwendung. : Verhandlungen auf der Tagung des Vereins für Socialpolitik in Salzburg 1952.</t>
  </si>
  <si>
    <t>Untersuchungen zum deutschen Vertriebenen- und Flüchtlingsproblem. : Zweite Abteilung: Einzeldarstellungen. III: Koerber, Hans Joachim von unter Mitwirkung von Karl C. Thalheim: Die Heimatvertriebenen und die Flüchtlinge aus der Sowjetzone in Westberlin.</t>
  </si>
  <si>
    <t>Untersuchungen zum deutschen Vertriebenen- und Flüchtlingsproblem. : Zweite Abteilung: Einzeldarstellungen. IX: Kollai, Helmut R.: Die Eingliederung der Vertriebenen und Zuwanderer in Niedersachsen.</t>
  </si>
  <si>
    <t>Lohnhöhe und Beschäftigung.</t>
  </si>
  <si>
    <t>Probleme der Finanzierung von Investitionen in Entwicklungsländern.</t>
  </si>
  <si>
    <t>Untersuchungen zum deutschen Vertriebenen- und Flüchtlingsproblem. : Zweite Abteilung: Einzeldarstellungen. X: Müller, Erwin: Die Heimatvertriebenen in Baden-Württemberg.</t>
  </si>
  <si>
    <t>Volkswirtschaftliche Probleme des deutschen Außenhandels. : Bericht über die erste Mitgliederversammlung des Vereins für Socialpolitik.</t>
  </si>
  <si>
    <t>Probleme des öffentlichen Budgets.</t>
  </si>
  <si>
    <t>Jecht, Horst</t>
  </si>
  <si>
    <t>Weltwirtschaftliche Probleme der Gegenwart. : Verhandlungen auf der Tagung des Vereins für Socialpolitik im Ostseebad Travemünde 1964.</t>
  </si>
  <si>
    <t>Probleme des räumlichen Gleichgewichts in der Wirtschaftswissenschaft. : Verhandlungen auf der Tagung des Vereins für Socialpolitik aus Anlaß der 175. Wiederkehr des Geburtstages von J. H. v. Thünen in Göttingen 1958.</t>
  </si>
  <si>
    <t>Hoffmann, Walther G.</t>
  </si>
  <si>
    <t>Probleme der Willensbildung und der wirtschaftspolitischen Führung.</t>
  </si>
  <si>
    <t>Probleme der Wirtschaftspolitik in Entwicklungsländern. : Beiträge zu Fragen der Entwicklungsplanung und regionalen Integration.</t>
  </si>
  <si>
    <t>Guth, Wilfried</t>
  </si>
  <si>
    <t>Untersuchungen zum deutschen Vertriebenen- und Flüchtlingsproblem. : Erste Abteilung: Grundfragen. II: Schmölders, Günter unter Mitarbeit von H. Müller - H. Friederichs: Finanzierungsprobleme im Zusammenhang mit der wirtschaftlichen Eingliederung der Heimatvertriebenen.</t>
  </si>
  <si>
    <t>Untersuchungen zum deutschen Vertriebenen- und Flüchtlingsproblem. : Erste Abteilung: Grundfragen. III: Reichling, Gerhard: Die Heimatvertriebenen im Spiegel der Statistik.</t>
  </si>
  <si>
    <t>Wirtschaftsverbände und Wirtschaftspolitik. : Schmölders, Günter (wissenschaftl. Ltg.): Das Selbstbild der Verbände. Empirische Erhebung über die Verhaltensweisen der Verbände in ihrer Bedeutung für die wirtschaftspolitische Willensbildung in der Bundesrepublik Deutschland.</t>
  </si>
  <si>
    <t>Weippert, Georg</t>
  </si>
  <si>
    <t>Untersuchungen zum deutschen Vertriebenen- und Flüchtlingsproblem. : Zweite Abteilung: Einzeldarstellungen. I: Seraphim, Peter-Heinz: Die Heimatvertriebenen in der Sowjetzone.</t>
  </si>
  <si>
    <t>Die Stellung von Landwirtschaft und Industrie im Wachstumsprozeß der Entwicklungsländer.</t>
  </si>
  <si>
    <t>Strukturwandlungen einer wachsenden Wirtschaft. : Verhandlungen auf der Tagung des Vereins für Socialpolitik in Luzern 1962. Bd. I.</t>
  </si>
  <si>
    <t>Neumark, Fritz</t>
  </si>
  <si>
    <t>Zur Theorie und Praxis der Mitbestimmung. : Bd. 2.</t>
  </si>
  <si>
    <t>Weddigen, Walter</t>
  </si>
  <si>
    <t>Strukturwandlungen einer wachsenden Wirtschaft. : Verhandlungen auf der Tagung des Vereins für Socialpolitik in Luzern 1962. Bd. II.</t>
  </si>
  <si>
    <t>Untersuchungen zur sozialen Gestaltung der Wirtschaftsordnung.</t>
  </si>
  <si>
    <t>Wirtschaftsverbände und Wirtschaftspolitik. : Pütz, Theodor (wissenschaftl. Ltg.): Verbände und Wirtschaftspolitik in Österreich.</t>
  </si>
  <si>
    <t>Untersuchungen zum deutschen Vertriebenen- und Flüchtlingsproblem. : Zweite Abteilung: Einzeldarstellungen. VII: Wagner, Helmut: Die Heimatvertriebenen und Sowjetzonenflüchtlinge in Rheinland-Pfalz.</t>
  </si>
  <si>
    <t>Das Verhältnis der Wirtschaftswissenschaft zur Rechtswissenschaft, Soziologie und Statistik. : Verhandlungen auf der Arbeitstagung des Vereins für Socialpolitik in Würzburg, Oktober 1963.</t>
  </si>
  <si>
    <t>Raiser, Ludwig</t>
  </si>
  <si>
    <t>Wandlungen der Wirtschaftsstruktur in der Bundesrepublik Deutschland.</t>
  </si>
  <si>
    <t>König, Heinz</t>
  </si>
  <si>
    <t>Rationale Wirtschaftspolitik und Planung in der Wirtschaft von heute. : Verhandlungen auf der Tagung des Vereins für Socialpolitik in Hannover 1966.</t>
  </si>
  <si>
    <t>Die Wirtschaftssysteme der Staaten Osteuropas und der Volksrepublik China. : Untersuchungen der Entstehung, Entfaltung und Wandlung sozialistischer Wirtschaftssysteme. Bd. I.</t>
  </si>
  <si>
    <t>Die Wirtschaftssysteme der Staaten Osteuropas und der Volksrepublik China. : Untersuchungen der Entstehung, Entfaltung und Wandlung sozialistischer Wirtschaftssysteme. Bd. II.</t>
  </si>
  <si>
    <t>Einzelhandel und Handwerk 1965 und 1975. : Absatz und Fläche.</t>
  </si>
  <si>
    <t>Beckermann, Theo</t>
  </si>
  <si>
    <t>Beiträge zur Regionalpolitik.</t>
  </si>
  <si>
    <t>Schneider, Hans K.</t>
  </si>
  <si>
    <t>Beiträge zur Theorie der Außenwirtschaft.</t>
  </si>
  <si>
    <t>Bombach, Gottfried</t>
  </si>
  <si>
    <t>Beiträge zur Wachstumspolitik.</t>
  </si>
  <si>
    <t>Grundlagen der Wettbewerbspolitik.</t>
  </si>
  <si>
    <t>Grundsatzprobleme wirtschaftspolitischer Beratung. : Das Beispiel der Stabilisierungspolitik. Verhandlungen auf der Tagung des Vereins für Socialpolitik in Baden-Baden 1967.</t>
  </si>
  <si>
    <t>Probleme der Haushalts- und Finanzplanung.</t>
  </si>
  <si>
    <t>Haller, Heinz</t>
  </si>
  <si>
    <t>Lohnpolitik und Einkommensverteilung. : Verhandlungen auf der Tagung des Vereins für Socialpolitik in Berlin 1968.</t>
  </si>
  <si>
    <t>Arndt, Helmut</t>
  </si>
  <si>
    <t>Der ökonomische Differenzierungsprozeß im heutigen Handwerk.</t>
  </si>
  <si>
    <t>Schlaghecken, Arnim</t>
  </si>
  <si>
    <t>Die Vorausschätzung von Brancheninvestitionen mit Hilfe von Faktor-Output-Relationen.</t>
  </si>
  <si>
    <t>Stürmer, Wilhelmine</t>
  </si>
  <si>
    <t>Wachstumsprobleme in den osteuropäischen Volkswirtschaften. : Bd. I.</t>
  </si>
  <si>
    <t>Wachstumsprobleme in den osteuropäischen Volkswirtschaften. : Bd. II.</t>
  </si>
  <si>
    <t>Zur Problematik der Sozialinvestitionen.</t>
  </si>
  <si>
    <t>Sanmann, Horst</t>
  </si>
  <si>
    <t>Theorie und Praxis der Infrastrukturpolitik.</t>
  </si>
  <si>
    <t>Jochimsen, Reimut</t>
  </si>
  <si>
    <t>Voraussetzungen einer globalen Entwicklungspolitik und Beiträge zur Kosten- und Nutzenanalyse.</t>
  </si>
  <si>
    <t>Meimberg, Rudolf</t>
  </si>
  <si>
    <t>Grundfragen der Infrastrukturplanung für wachsende Wirtschaften. : Verhandlungen auf der Tagung des Vereins für Socialpolitik in Innsbruck 1970.</t>
  </si>
  <si>
    <t>Methoden der mittelfristigen Steuervorausschätzung. : Zur mittelfristigen Entwicklung des Steueraufkommens in der Bundesrepublik Deutschland.</t>
  </si>
  <si>
    <t>Roth, Albert</t>
  </si>
  <si>
    <t>Der Private Verbrauch in der Bundesrepublik Deutschland. : Verflechtungstabellen nach Ausgabearten und Branchen 1950 - 1967.</t>
  </si>
  <si>
    <t>Rau, Rainer</t>
  </si>
  <si>
    <t>Probleme der Staatsverschuldung.</t>
  </si>
  <si>
    <t>Rationalisierung durch Kartelle?</t>
  </si>
  <si>
    <t>Hoppmann, Erich</t>
  </si>
  <si>
    <t>Aspekte der Friedensforschung und Entscheidungsprobleme in der Sozialpolitik.</t>
  </si>
  <si>
    <t>Investitions- und Industrialisierungsprobleme in Entwicklungsländern.</t>
  </si>
  <si>
    <t>Beiträge zu Wirtschaftswachstum und Wirtschaftsstruktur im 16. und 19. Jahrhundert.</t>
  </si>
  <si>
    <t>Fischer, Wolfram</t>
  </si>
  <si>
    <t>Studien zur Geldtheorie und monetäre Ökonometrie.</t>
  </si>
  <si>
    <t>Neue Wege der Wirtschaftspolitik.</t>
  </si>
  <si>
    <t>Dürr, Ernst</t>
  </si>
  <si>
    <t>Branchenstruktur und Wachstumsaussichten in Hessen.</t>
  </si>
  <si>
    <t>Thoben, Christa</t>
  </si>
  <si>
    <t>Der Staatssektor in der Input-Output-Rechnung. : Verflechtungstabellen für die Bundesrepublik Deutschland nach Aufgabenbereichen und Branchen 1954 - 1967.</t>
  </si>
  <si>
    <t>Komarnicki, Johann</t>
  </si>
  <si>
    <t>Besteuerung und Zahlungsbilanz.</t>
  </si>
  <si>
    <t>Albers, Willi</t>
  </si>
  <si>
    <t>Das Eigenpotential im Entwicklungsprozeß.</t>
  </si>
  <si>
    <t>Priebe, Hermann</t>
  </si>
  <si>
    <t>Information, Motivation und Entscheidung. : Studien zum Vergleich von Wirtschaftssystemen.</t>
  </si>
  <si>
    <t>Watrin, Christian</t>
  </si>
  <si>
    <t>Wachstumszyklen. : Über die neue Form der Konjunkturschwankungen. Theoretische und empirische Beiträge.</t>
  </si>
  <si>
    <t>Ott, Alfred E.</t>
  </si>
  <si>
    <t>Leitbilder und Zielsysteme der Sozialpolitik.</t>
  </si>
  <si>
    <t>Die Konzentration in der Wirtschaft - On Economic Concentration. : Erster Band.</t>
  </si>
  <si>
    <t>Die Konzentration in der Wirtschaft - On Economic Concentration. : Zweiter Band.</t>
  </si>
  <si>
    <t>Öffentliche Finanzwirtschaft und Verteilung I.</t>
  </si>
  <si>
    <t>Beiträge zur Beurteilung von Entwicklungsstrategien.</t>
  </si>
  <si>
    <t>Das Handwerk im Wachstum der Wirtschaft. : Eine statistische Analyse.</t>
  </si>
  <si>
    <t>Struktur- und stabilitätspolitische Probleme in alternativen Wirtschaftssystemen.</t>
  </si>
  <si>
    <t>Probleme der weltwirtschaftlichen Arbeitsteilung. : Verhandlungen auf der Arbeitstagung des Vereins für Socialpolitik und des Instituts für Weltwirtschaft in Kiel 1973.</t>
  </si>
  <si>
    <t>Giersch, Herbert</t>
  </si>
  <si>
    <t>Rationalisierungseffekte der Walzstahlkontore und der Rationalisierungsgruppen.</t>
  </si>
  <si>
    <t>Röper, Burkhardt</t>
  </si>
  <si>
    <t>Öffentliche Finanzwirtschaft und Verteilung II.</t>
  </si>
  <si>
    <t>Studien zum Inflationsproblem.</t>
  </si>
  <si>
    <t>Pütz, Theodor</t>
  </si>
  <si>
    <t>Öffentliche Finanzwirtschaft und Verteilung III.</t>
  </si>
  <si>
    <t>Dreißig, Wilhelmine</t>
  </si>
  <si>
    <t>Vom Kleingewerbe zur Großindustrie. : Quantitativ-regionale und politisch-rechtliche Aspekte zur Erforschung der Wirtschafts- und Gesellschaftsstruktur im 19. Jahrhundert.</t>
  </si>
  <si>
    <t>Winkel, Harald</t>
  </si>
  <si>
    <t>Neue Dimensionen der Arbeitsmarktpolitik in der BRD.</t>
  </si>
  <si>
    <t>Lampert, Heinz</t>
  </si>
  <si>
    <t>Ökonometrische Analyse der Ausgabearten des Privaten Verbrauchs. : Eine ökonometrische Analyse des Privaten Verbrauchs nach Ausgabearten für die Bundesrepublik Deutschland 1950 - 1967.</t>
  </si>
  <si>
    <t>Aktuelle Probleme der Gesundheitspolitik in der BRD.</t>
  </si>
  <si>
    <t>Eigenfinanzierung der Entwicklung.</t>
  </si>
  <si>
    <t>Wettbewerbsprobleme im Kreditgewerbe.</t>
  </si>
  <si>
    <t>Stabilisierungspolitik in der Marktwirtschaft. : Verhandlungen auf der Tagung des Vereins für Socialpolitik in Zürich 1974.</t>
  </si>
  <si>
    <t>Die Bauwirtschaft. : Eine vorwiegend statistische Analyse.</t>
  </si>
  <si>
    <t>Wirtschaftsstrukturelle Bestandsaufnahme für das Ruhrgebiet.</t>
  </si>
  <si>
    <t>Kruck, Roswitha</t>
  </si>
  <si>
    <t>Öffentliche Finanzwirtschaft und Verteilung IV.</t>
  </si>
  <si>
    <t>Die Bedeutung gesellschaftlicher Veränderungen für die Willensbildung im Unternehmen. : Verhandlungen auf der Arbeitstagung des Vereins für Socialpolitik in Aachen 1975.</t>
  </si>
  <si>
    <t>Albach, Horst</t>
  </si>
  <si>
    <t>Probleme der nationalsozialistischen Wirtschaftspolitik.</t>
  </si>
  <si>
    <t>Henning, Friedrich-Wilhelm</t>
  </si>
  <si>
    <t>Integration der Entwicklungsländer in eine instabile Weltwirtschaft – Probleme, Chancen, Gefahren.</t>
  </si>
  <si>
    <t>Urff, Winfried von</t>
  </si>
  <si>
    <t>Wachstum und Strukturbildung bei Ausländerbeschäftigung.</t>
  </si>
  <si>
    <t>Lamberts, Willi</t>
  </si>
  <si>
    <t>Ökonomische Probleme der Umweltschutzpolitik.</t>
  </si>
  <si>
    <t>Issing, Otmar</t>
  </si>
  <si>
    <t>Soziale Probleme der modernen Industriegesellschaft. : Verhandlungen auf der Arbeitstagung des Vereins für Socialpolitik in Augsburg 1976.</t>
  </si>
  <si>
    <t>Külp, Bernhard</t>
  </si>
  <si>
    <t>Der Einzelhandel 1959 - 1985.</t>
  </si>
  <si>
    <t>Öffentliche Finanzwirtschaft und Verteilung V.</t>
  </si>
  <si>
    <t>Strukturdiagnose in der Marktwirtschaft.</t>
  </si>
  <si>
    <t>Wachstum, Einkommensverteilung und Beschäftigung in Entwicklungsländern.</t>
  </si>
  <si>
    <t>Die Problematik der Vollbeschäftigung. : Verhandlungen auf der Tagung des Vereins für Socialpolitik in Bad Pyrmont 1950.</t>
  </si>
  <si>
    <t>Die Berliner Wirtschaft zwischen Ost und West. : Die Reform der Sozialpolitik durch einen deutschen Sozialplan. Verhandlungen auf der Sondertagung des Vereins für Socialpolitik in Berlin 1952.</t>
  </si>
  <si>
    <t>Die Verflechtung der Sozialleistungen. : Ergebnisse einer Stichprobe.</t>
  </si>
  <si>
    <t>Mackenroth, Gerhard</t>
  </si>
  <si>
    <t>Einkommensbildung und Einkommensverteilung. : Verhandlungen auf der Tagung des Vereins für Socialpolitik in Köln 1956.</t>
  </si>
  <si>
    <t>Finanz- und währungspolitische Bedingungen stetigen Wirtschaftswachstums. : Verhandlungen auf der Tagung des Vereins für Socialpolitik in Baden-Baden 1958.</t>
  </si>
  <si>
    <t>Zur Neuen Sozialen Frage.</t>
  </si>
  <si>
    <t>Widmaier, Hans Peter</t>
  </si>
  <si>
    <t>Einkommensverteilung und technischer Fortschritt.</t>
  </si>
  <si>
    <t>Probleme des Finanzausgleichs I.</t>
  </si>
  <si>
    <t>Die Konzentration in der Wirtschaft. : Verhandlungen auf der Tagung des Vereins für Socialpolitik in Bad Kissingen 1960.</t>
  </si>
  <si>
    <t>Ökonomische Verfügungsrechte und Allokationsmechanismen in Wirtschaftssystemen.</t>
  </si>
  <si>
    <t>Schenk, Karl-Ernst</t>
  </si>
  <si>
    <t>Zur Theorie und Praxis der Mitbestimmung. : Bd. 1.</t>
  </si>
  <si>
    <t>Diagnose und Prognose als wirtschaftswissenschaftliche Methodenprobleme. : Verhandlungen auf der Arbeitstagung des Vereins für Socialpolitik in Garmisch-Partenkirchen 1961.</t>
  </si>
  <si>
    <t>Theorien des einzelwirtschaftlichen und des gesamtwirtschaftlichen Wachstums.</t>
  </si>
  <si>
    <t>Neuere Entwicklungen in den Wirtschaftswissenschaften. : Verhandlungen auf der Arbeitstagung des Vereins für Socialpolitik in Münster 1977.</t>
  </si>
  <si>
    <t>Helmstädter, Ernst</t>
  </si>
  <si>
    <t>Aktuelle Probleme der Arbeitslosigkeit.</t>
  </si>
  <si>
    <t>Recurrent Education und Berufliche Flexibilitätsforschung.</t>
  </si>
  <si>
    <t>Edding, Friedrich</t>
  </si>
  <si>
    <t>Grundfragen der Gesetzgebungslehre. : erörtert anhand neuerer Gesetzgebungsvorhaben insbesondere der Neuregelung des Bergschadensrechts.</t>
  </si>
  <si>
    <t>Krems, Burkhardt</t>
  </si>
  <si>
    <t>Staat und Wirtschaft. : Verhandlungen auf der Arbeitstagung des Vereins für Socialpolitik in Hamburg 1978.</t>
  </si>
  <si>
    <t>Weizsäcker, Carl Christian von</t>
  </si>
  <si>
    <t>Marketing im Handwerk.</t>
  </si>
  <si>
    <t>Zimmermann, Thomas</t>
  </si>
  <si>
    <t>Die Sicherung des Arbeitsplatzes. : Lohntheoretische und arbeitsmarktpolitische Beiträge.</t>
  </si>
  <si>
    <t>Herder-Dorneich, Philipp</t>
  </si>
  <si>
    <t>Entwicklung und Aufgaben von Versicherungen und Banken in der Industrialisierung.</t>
  </si>
  <si>
    <t>Lenkungsprobleme und Inflation in Planwirtschaften.</t>
  </si>
  <si>
    <t>Probleme des Finanzausgleichs II.</t>
  </si>
  <si>
    <t>Pohmer, Dieter</t>
  </si>
  <si>
    <t>Wettbewerb in der pharmazeutischen Industrie.</t>
  </si>
  <si>
    <t>Staatliche Umverteilungspolitik in historischer Perspektive. : Beiträge zur Entwicklung des Staatsinterventionismus in Deutschland und Österreich.</t>
  </si>
  <si>
    <t>Blaich, Fritz</t>
  </si>
  <si>
    <t>Erschöpfbare Ressourcen. : Verhandlungen auf der Arbeitstagung der Gesellschaft für Wirtschafts- und Sozialwissenschaften - Verein für Socialpolitik - in Mannheim vom 24. - 26. September 1979.</t>
  </si>
  <si>
    <t>Siebert, Horst</t>
  </si>
  <si>
    <t>Das Handwerk in der Bundesrepublik Deutschland.</t>
  </si>
  <si>
    <t>Geldpolitik, Zins und Staatsverschuldung.</t>
  </si>
  <si>
    <t>Ehrlicher, Werner</t>
  </si>
  <si>
    <t>Die Umverteilungswirkungen der Staatstätigkeit bei den wichtigsten Haushaltstypen.</t>
  </si>
  <si>
    <t>Karrenberg, Hanns</t>
  </si>
  <si>
    <t>Konzept und Kritik des Humankapitalansatzes.</t>
  </si>
  <si>
    <t>Clement, Werner</t>
  </si>
  <si>
    <t>Zur Marxistischen und Neuen Politischen Ökonomie.</t>
  </si>
  <si>
    <t>Hedtkamp, Günter</t>
  </si>
  <si>
    <t>Beiträge zur Industrialisierungs- und Handelspolitik der Entwicklungsländer.</t>
  </si>
  <si>
    <t>Timmermann, Vincenz</t>
  </si>
  <si>
    <t>Zur Prognoseleistung ökonometrischer Konjunkturmodelle für die Bundesrepublik Deutschland.</t>
  </si>
  <si>
    <t>Heilemann, Ullrich</t>
  </si>
  <si>
    <t>Internationale Anpassungsprozesse.</t>
  </si>
  <si>
    <t>Woll, Artur</t>
  </si>
  <si>
    <t>Anreiz- und Kontrollmechanismen in Wirtschaftssystemen I.</t>
  </si>
  <si>
    <t>Entwicklungsprobleme einer Region: Das Beispiel Rheinland und Westfalen im 19. Jahrhundert.</t>
  </si>
  <si>
    <t>Beiträge zum Äquivalenzprinzip und zur Zweckbindung öffentlicher Einnahmen.</t>
  </si>
  <si>
    <t>Wert- und Präferenzprobleme in den Sozialwissenschaften.</t>
  </si>
  <si>
    <t>Tietz, Reinhard</t>
  </si>
  <si>
    <t>Dynamische Theorie der Sozialpolitik.</t>
  </si>
  <si>
    <t>Die Mißbrauchsaufsicht vor dem Hintergrund der Entwicklungen der neueren Wettbewerbstheorie.</t>
  </si>
  <si>
    <t>Die Rolle des Staates für die wirtschaftliche Entwicklung.</t>
  </si>
  <si>
    <t>Information in der Wirtschaft. : Verhandlungen auf der Arbeitstagung des Vereins für Socialpolitik in Graz 1981.</t>
  </si>
  <si>
    <t>Streißler, Erich</t>
  </si>
  <si>
    <t>Anreiz- und Kontrollmechanismen in Wirtschaftssystemen II.</t>
  </si>
  <si>
    <t>Arbeitsmarkt und Arbeitsmarktpolitik.</t>
  </si>
  <si>
    <t>Zur optimalen Besteuerung.</t>
  </si>
  <si>
    <t>Ordnungspolitische Fragen zum Nord-Süd-Konflikt.</t>
  </si>
  <si>
    <t>Simonis, Udo Ernst</t>
  </si>
  <si>
    <t>Aktuelle Wege der Wirtschaftspolitik.</t>
  </si>
  <si>
    <t>Determinanten der räumlichen Entwicklung.</t>
  </si>
  <si>
    <t>Müller, J. Heinz</t>
  </si>
  <si>
    <t>Beiträge zum Problem der Schattenwirtschaft.</t>
  </si>
  <si>
    <t>Finanzsysteme: Ideal- und Realtypen - Gesundheitswesen und Hochschulbildung.</t>
  </si>
  <si>
    <t>Häuser, Karl</t>
  </si>
  <si>
    <t>Entwicklungsländer in der Finanzkrise. : Probleme und Perspektiven.</t>
  </si>
  <si>
    <t>Staatsfinanzierung im Wandel. : Verhandlungen auf der Jahrestagung des Vereins für Socialpolitik in Köln 1982.</t>
  </si>
  <si>
    <t>Hansmeyer, Karl-Heinrich</t>
  </si>
  <si>
    <t>Geld- und Währungsordnung.</t>
  </si>
  <si>
    <t>Richter, Rudolf</t>
  </si>
  <si>
    <t>Devisenmarktinterventionen der Zentralbanken.</t>
  </si>
  <si>
    <t>Normengeleitetes Verhalten in den Sozialwissenschaften.</t>
  </si>
  <si>
    <t>Todt, Horst</t>
  </si>
  <si>
    <t>Wachstumsverlangsamung und Konjunkturzyklen in unterschiedlichen Wirtschaftssystemen.</t>
  </si>
  <si>
    <t>Schüller, Alfred</t>
  </si>
  <si>
    <t>Selbstverwaltung als ordnungspolitisches Problem des Sozialstaates II.</t>
  </si>
  <si>
    <t>Winterstein, Helmut</t>
  </si>
  <si>
    <t>Folgekosten von Entwicklungsprojekten - Probleme und Konsequenzen für eine effizientere Entwicklungspolitik.</t>
  </si>
  <si>
    <t>Koch, Walter A. S.</t>
  </si>
  <si>
    <t>Externe Verschuldung - interne Anpassung. : Entwicklungsländer in der Finanzkrise.</t>
  </si>
  <si>
    <t>Produktivitätsentwicklung staatlicher Leistungen.</t>
  </si>
  <si>
    <t>Stahlkrise - Ist der Staat gefordert? : Tagungsband zum RWI-Symposion vom 19. 3. 1984. Vorb. und Ltg. des Symposions: Helmut Wienert.</t>
  </si>
  <si>
    <t>Wirtschaftsforschung, Rheinisch-Westfälisches Instituts für</t>
  </si>
  <si>
    <t>Nordrhein-Westfalen in der Krise - Krise in Nordrhein-Westfalen? : Tagungsband zum RWI-Symposium vom 24. und 25.10.1984. Wiss. Ltg.: Willi Lamberts. Org. Ltg.: Matthias Köppel.</t>
  </si>
  <si>
    <t>Wirtschaftsforschung, Rheinisch-Westfälisches Institut für</t>
  </si>
  <si>
    <t>Probleme der Bildungsfinanzierung.</t>
  </si>
  <si>
    <t>Brinkmann, Gerhard</t>
  </si>
  <si>
    <t>Ethik und Wirtschaftswissenschaft.</t>
  </si>
  <si>
    <t>Enderle, Georges</t>
  </si>
  <si>
    <t>Budgetpolitik im Wandel.</t>
  </si>
  <si>
    <t>China im Konflikt zwischen verschiedenen Ordnungskonzeptionen.</t>
  </si>
  <si>
    <t>Strukturpolitische Probleme der Automobil-Industrie unter dem Aspekt des Wettbewerbs.</t>
  </si>
  <si>
    <t>Sozialpolitik in der Beschäftigungskrise I.</t>
  </si>
  <si>
    <t>Probleme und Perspektiven der weltwirtschaftlichen Entwicklung. : Jahrestagung des Vereins für Socialpolitik in Travemünde 1984.</t>
  </si>
  <si>
    <t>Beiträge zur Bevölkerungsökonomie.</t>
  </si>
  <si>
    <t>Felderer, Bernhard</t>
  </si>
  <si>
    <t>Die internationale Schuldenkrise. : Ursachen - Konsequenzen - Historische Erfahrungen.</t>
  </si>
  <si>
    <t>Gutowski, Armin</t>
  </si>
  <si>
    <t>Entwicklungstheorie - Entwicklungspraxis. : Eine kritische Bilanzierung.</t>
  </si>
  <si>
    <t>Transfer-Einkommen und Einkommensverteilung.</t>
  </si>
  <si>
    <t>Zeppernick, Ralf</t>
  </si>
  <si>
    <t>Stadtwachstum, Industrialisierung, Sozialer Wandel. : Beiträge zur Erforschung der Urbanisierung im 19. und 20. Jahrhundert.</t>
  </si>
  <si>
    <t>Teuteberg, Hans-Jürgen</t>
  </si>
  <si>
    <t>Sozialpolitik in der Beschäftigungskrise II.</t>
  </si>
  <si>
    <t>Nationale Wege der Inflationsbekämpfung.</t>
  </si>
  <si>
    <t>Werner, Josua</t>
  </si>
  <si>
    <t>Wandlungen der Besteuerung.</t>
  </si>
  <si>
    <t>Ökonomie des Gesundheitswesens. : Jahrestagung des Vereins für Socialpolitik in Saarbrücken 1985.</t>
  </si>
  <si>
    <t>Gäfgen, Gérard</t>
  </si>
  <si>
    <t>Geldpolitische Regelbindung: theoretische Entwicklungen und empirische Befunde.</t>
  </si>
  <si>
    <t>Wettbewerb im Medienbereich.</t>
  </si>
  <si>
    <t>Kapitaldeckungsverfahren versus Umlageverfahren. : Demographische Entwicklung und Finanzierung von Altersversicherung und Familienlastenausgleich.</t>
  </si>
  <si>
    <t>Die Familie als Gegenstand sozialwissenschaftlicher Forschung.</t>
  </si>
  <si>
    <t>Kapitalmarkt und Finanzierung. : Jahrestagung des Vereins für Socialpolitik, Gesellschaft für Wirtschafts- und Sozialwissenschaften, in München vom 15. - 17. September 1986.</t>
  </si>
  <si>
    <t>Schneider, Dieter</t>
  </si>
  <si>
    <t>Beiträge zu ökonomischen Problemen des Föderalismus.</t>
  </si>
  <si>
    <t>Schmidt, Kurt</t>
  </si>
  <si>
    <t>Theoriebildung und empirische Forschung im Systemvergleich.</t>
  </si>
  <si>
    <t>Probleme der ländlichen Entwicklung in der Dritten Welt.</t>
  </si>
  <si>
    <t>Körner, Heiko</t>
  </si>
  <si>
    <t>Bildung, Beruf, Arbeitsmarkt.</t>
  </si>
  <si>
    <t>Bodenhöfer, Hans-Joachim</t>
  </si>
  <si>
    <t>Familienlastenausgleich und demographische Entwicklung.</t>
  </si>
  <si>
    <t>Wechselkursstabilisierung und Währungskooperation. : Mit einem Vorwort von Jürgen Siebke.</t>
  </si>
  <si>
    <t>Regulierung und Deregulierung im Bereich der Sozialpolitik.</t>
  </si>
  <si>
    <t>Thiemeyer, Theo</t>
  </si>
  <si>
    <t>Wettbewerb und Anpassung in der Stahlindustrie.</t>
  </si>
  <si>
    <t>Beschäftigungsprobleme hochentwickelter Volkswirtschaften. : Jahrestagung des Vereins für Socialpolitik, Gesellschaft für Wirtschafts- und Sozialwissenschaften, in Berlin vom 14. - 16. September 1987.</t>
  </si>
  <si>
    <t>Scherf, Harald</t>
  </si>
  <si>
    <t>Probleme der Konjunkturtheorie im ausgehenden 19. Jahrhundert. : Studien zur Entwicklung der ökonomischen Theorie VII.</t>
  </si>
  <si>
    <t>Schefold, Bertram</t>
  </si>
  <si>
    <t>Regulierung und Wettbewerb im europäischen Luftverkehr.</t>
  </si>
  <si>
    <t>Gröner, Helmut</t>
  </si>
  <si>
    <t>Wettbewerbsprobleme öffentlich- und privatrechtlicher Medien.</t>
  </si>
  <si>
    <t>Einkommensverteilung und Bevölkerungsentwicklung.</t>
  </si>
  <si>
    <t>Deutsche Nationalökonomie in der Zwischenkriegszeit. : Studien zur Entwicklung der ökonomischen Theorie VIII.</t>
  </si>
  <si>
    <t>Probleme der Finanzgeschichte des 19. und 20. Jahrhunderts.</t>
  </si>
  <si>
    <t>Petzina, Dietmar</t>
  </si>
  <si>
    <t>Regionale Beschäftigung und Technologieentwicklung.</t>
  </si>
  <si>
    <t>Böventer, Edwin von</t>
  </si>
  <si>
    <t>Währungsreform und Soziale Marktwirtschaft. : Erfahrungen und Perspektiven nach 40 Jahren. Jahrestagung des Vereins für Socialpolitik, Gesellschaft für Wirtschafts- und Sozialwissenschaften, in Freiburg i. Br. vom 5. - 7. Oktober 1988.</t>
  </si>
  <si>
    <t>Strukturelle Anpassung altindustrieller Regionen im internationalen Vergleich.</t>
  </si>
  <si>
    <t>Hamm, Rüdiger</t>
  </si>
  <si>
    <t>Schattenwirtschaft und Strukturwandel in der Bundesrepublik Deutschland.</t>
  </si>
  <si>
    <t>Döhrn, Roland</t>
  </si>
  <si>
    <t>Einbeziehung von Umweltindikatoren in die Regionalpolitik.</t>
  </si>
  <si>
    <t>Karl, Helmut</t>
  </si>
  <si>
    <t>Friedrich List: Voraussetzungen und Folgen. : Studien zur Entwicklung der ökonomischen Theorie X.</t>
  </si>
  <si>
    <t>Möglichkeiten und Grenzen der Steuerung von Rückstandsmaterialströmen über den Abfallbeseitigungspreis.</t>
  </si>
  <si>
    <t>Hecht, Dieter</t>
  </si>
  <si>
    <t>Die Stahlindustrie in der DDR.</t>
  </si>
  <si>
    <t>Wienert, Helmut</t>
  </si>
  <si>
    <t>Die Darstellung der Wirtschaft und der Wirtschaftswissenschaften in der Belletristik. : Studien zur Entwicklung der ökonomischen Theorie XI.</t>
  </si>
  <si>
    <t>Politische Maßnahmen zur Verbesserung von Standortqualitäten.</t>
  </si>
  <si>
    <t>Klemmer, Paul</t>
  </si>
  <si>
    <t>Konsumstruktur, Umweltbewußtsein und Umweltpolitik. : Eine makroökonomische Analyse des Zusammenhanges in ausgewählten Konsumbereichen.</t>
  </si>
  <si>
    <t>Wenke, Martin</t>
  </si>
  <si>
    <t>Konflikte um Standorte für Abfallbehandlungs- und -beseitigungsanlagen. : Ursachen und Lösungsansätze aus ökonomischer Sicht.</t>
  </si>
  <si>
    <t>Werbeck, Nicola</t>
  </si>
  <si>
    <t>Ausländische Selbständige in der Bundesrepublik : unter besonderer Berücksichtigung von Entwicklungsperspektiven in den neuen Bundesländern.</t>
  </si>
  <si>
    <t>Loeffelholz, Hans Dietrich von</t>
  </si>
  <si>
    <t>Die Tarifierung elektrischer Energie. : Eine kritische Analyse aus ökonomischer Sicht.</t>
  </si>
  <si>
    <t>Werbeck, Thomas</t>
  </si>
  <si>
    <t>Krisenmanagement in der Stahlindustrie. : Eine theoretische und empirische Analyse der europäischen Stahlpolitik 1975 bis 1988.</t>
  </si>
  <si>
    <t>Verkehrsinfrastrukturpolitik in der Marktwirtschaft. : Eine institutionenökonomische Analyse.</t>
  </si>
  <si>
    <t>Wink, Rüdiger</t>
  </si>
  <si>
    <t>Regionales Innovationsmanagement unter den Bedingungen einer regionalisierten Strukturpolitik. : Das Beispiel der altindustriellen Regionen Nord-Pas-de-Calais und Emscher-Lippe.</t>
  </si>
  <si>
    <t>Feldotto, Petra</t>
  </si>
  <si>
    <t>Das politische Denken von Christian Thomasius. : Staat, Gesellschaft, Bürger.</t>
  </si>
  <si>
    <t>Kühnel, Martin</t>
  </si>
  <si>
    <t>Legal Linguistics Beyond Borders: Language and Law in a World of Media, Globalisation and Social Conflicts. : Relaunching the International Language and Law Association (ILLA).</t>
  </si>
  <si>
    <t>Der König und sein Beichtvater. : Friedrich Wilhelm IV. und Carl Wilhelm Saegert. Briefwechsel 1848 bis 1856. Red.: Mathias Friedel.</t>
  </si>
  <si>
    <t>Baumgart, Winfried</t>
  </si>
  <si>
    <t>Carl von Schubert (1882–1947). : Sein Beitrag zur internationalen Politik in der Ära der Weimarer Republik. Ausgewählte Dokumente. Mit einer biographischen Einleitung von Martin Kröger.</t>
  </si>
  <si>
    <t>Kröger, Martin</t>
  </si>
  <si>
    <t>Ein preußischer Gesandter in München. : Georg Freiherr von Werthern. Tagebuch und politische Korrespondenz mit Bismarck 1867–1888. Red.: Mathias Friedel.</t>
  </si>
  <si>
    <t>Briefe eines Intellektuellen 1886–1937. : Hrsg. von Thomas Kroll - Friedrich Lenger - Michael Schellenberger.</t>
  </si>
  <si>
    <t>Lenger, Friedrich</t>
  </si>
  <si>
    <t>Menschen, die ich kannte. : Erinnerungen eines Achtzigjährigen.</t>
  </si>
  <si>
    <t>Vinattieri, Wiebke Fastenrath</t>
  </si>
  <si>
    <t>Fritz Hartung – Korrespondenz eines Historikers zwischen Kaiserreich und zweiter Nachkriegszeit</t>
  </si>
  <si>
    <t>Kraus, Hans-Christof</t>
  </si>
  <si>
    <t>Der Grundsatz digitaler Souveränität. : Eine Untersuchung zur Zulässigkeit des Einbindens privater IT-Dienstleister in die Aufgabenwahrnehmung der öffentlichen Verwaltung.</t>
  </si>
  <si>
    <t>Ernst, Christian</t>
  </si>
  <si>
    <t>Untersuchungen über die Lebenskosten in der Schweiz. : Untersuchungen über Preisbildung. Abteilung C: Kosten der Lebenshaltung. Erster Teil. (Schriften des Vereins für Sozialpolitik 146-I).</t>
  </si>
  <si>
    <t>Bauer, Stephan</t>
  </si>
  <si>
    <t>Geschichte des Vereins für Sozialpolitik 1872–1932. : Im Auftrage des Liquidationsausschusses verfaßt vom Schriftführer. (Schriften des Vereins für Sozialpolitik, Band 188).</t>
  </si>
  <si>
    <t>Boese, Franz</t>
  </si>
  <si>
    <t>Moderne Organisationsformen der öffentlichen Unternehmung. : Zweiter Teil: Deutsches Reich. Mit elf Beiträgen. (Schriften des Vereins für Sozialpolitik, Band 176-II).</t>
  </si>
  <si>
    <t>Landmann, Julius</t>
  </si>
  <si>
    <t>Die Arbeitslosigkeit der Gegenwart. : Zweiter Teil: Deutsches Reich I. (Schriften des Vereins für Sozialpolitik, Band 185-II).</t>
  </si>
  <si>
    <t>Saitzew, Manuel</t>
  </si>
  <si>
    <t>Die Arbeitslosigkeit der Gegenwart. : Dritter Teil: Deutsches Reich II. (Schriften des Vereins für Sozialpolitik, Band 185-III).</t>
  </si>
  <si>
    <t>Die betriebliche Sozialpolitik in der westdeutschen Großeisenindustrie. : Die betriebliche Sozialpolitik einzelner Industriezweige, zweiter Teil. Hrsg. von Goetz Briefs. (Schriften des Vereins für Sozialpolitik, Band 186-II).</t>
  </si>
  <si>
    <t>Zur Reform des Actiengesellschaftswesens. : Drei Gutachten auf Veranlassung der Eisenacher Versammlung zur Besprechung der socialen Frage. (Schriften des Vereins für Socialpolitik I).</t>
  </si>
  <si>
    <t>Socialpolitik, Verein für</t>
  </si>
  <si>
    <t>Ueber Fabrikgesetzgebung, Schiedsgerichte und Einigungsämter. : Gutachten auf Veranlassung der Eisenacher Versammlung zur Besprechung der socialen Frage. (Schriften des Vereins für Socialpolitik II).</t>
  </si>
  <si>
    <t>Die Personalbesteuerung. : Gutachten auf Veranlassung der Eisenacher Versammlung zur Besprechung der socialen Frage. (Schriften des Vereins für Socialpolitik III).</t>
  </si>
  <si>
    <t>Verhandlungen des Vereins für Socialpolitik am 12. und 13. October 1873. : Auf Grund der stenographischen Niederschrift hrsg. vom Ständigen Ausschuß. (Schriften des Vereins für Socialpolitik IV).</t>
  </si>
  <si>
    <t>Ueber Alters- und Invalidencassen für Arbeiter. : Gutachten auf Veranlassung des Vereins für Socialpolitik. Im Anhang der Entwurf zu einem Gesetz betr. die gegenseitigen Hülfscassen. (Schriften des Vereins für Socialpolitik V).</t>
  </si>
  <si>
    <t>Ueber Betheiligung der Arbeiter am Unternehmergewinn. : Gutachten auf Veranlassung des Vereins für Socialpolitik. (Schriften des Vereins für Socialpolitik VI).</t>
  </si>
  <si>
    <t>Ueber Bestrafung des Arbeitsvertragsbruches. : Gutachten auf Veranlassung des Vereins für Socialpolitik. (Schriften des Vereins für Socialpolitik VII).</t>
  </si>
  <si>
    <t>Die progressive Einkommensteuer im Staats- und Gemeinde-Haushalt. : Gutachten über Personalbesteuerung, auf Veranlassung des Vereins für Socialpolitik. (Schriften des Vereins für Socialpolitik VIII).</t>
  </si>
  <si>
    <t>Neumann, Friedrich Julius</t>
  </si>
  <si>
    <t>Verhandlungen der zweiten Generalversammlung des Vereins für Socialpolitik am 11. und 12. October 1874. : Auf Grund der stenographischen Niederschrift hrsg. vom Ständigen Ausschuß. (Schriften des Vereins für Socialpolitik IX).</t>
  </si>
  <si>
    <t>Die Reform des Lehrlingswesens. : Sechszehn Gutachten und Berichte veröffentlicht vom Verein für Socialpolitik. (Schriften des Vereins für Socialpolitik X).</t>
  </si>
  <si>
    <t>Verhandlungen der dritten Generalversammlung des Vereins für Socialpolitik am 10., 11. und 12. October 1875. : Auf Grund der stenographischen Niederschrift hrsg. vom Ständigen Ausschuß. (Schriften des Vereins für Socialpolitik XI).</t>
  </si>
  <si>
    <t>Die Communalsteuerfrage. : Zehn Gutachten und Berichte veröffentlicht vom Verein für Socialpolitik. (Schriften des Vereins für Socialpolitik XII).</t>
  </si>
  <si>
    <t>Das Verfahren bei Enquêten über sociale Verhältnisse. : Drei Gutachten nebst einem Anhang. (Schriften des Vereins für Socialpolitik XIII).</t>
  </si>
  <si>
    <t>Verhandlungen der fünften Generalversammlung des Vereins für Socialpolitik am 8., 9. und 10. October 1877. : Auf Grund der stenographischen Niederschrift hrsg. vom Ständigen Ausschuß. (Schriften des Vereins für Socialpolitik XIV).</t>
  </si>
  <si>
    <t>Das Gewerbliche Fortbildungswesen. : Sieben Gutachten und Berichte veröffentlicht vom Verein für Socialpolitik. (Schriften des Vereins für Socialpolitik XV).</t>
  </si>
  <si>
    <t>Verhandlungen der sechsten Generalversammlung des Vereins für Socialpolitik über die Zolltarifvorlagen am 21. und 22. April 1879 in Frankfurt a.M. : Auf Grund der stenographischen Niederschrift hrsg. vom Ständigen Ausschuß. (Schriften des Vereins für Socialpolitik XVI).</t>
  </si>
  <si>
    <t>Die Amerikanischen Gewerkvereine. : (Schriften des Vereins für Socialpolitik XVIII).</t>
  </si>
  <si>
    <t>Farnam, Henry W.</t>
  </si>
  <si>
    <t>Gewerkvereine und Unternehmerverbände in Frankreich. : Ein Beitrag zur Kenntnis der socialen Bewegung. (Schriften des Vereins für Socialpolitik XVII).</t>
  </si>
  <si>
    <t>Lexis, Wilhelm</t>
  </si>
  <si>
    <t>Die Haftpflichtfrage. : Gutachten und Berichte veröffentlicht vom Verein für Socialpolitik. (Schriften des Vereins für Socialpolitik XIX).</t>
  </si>
  <si>
    <t>Das Erbrecht und die Grundeigenthumsvertheilung im Deutschen Reiche. : Ein socialwirthschaftlicher Beitrag zur Kritik und Reform des deutschen Erbrechts. Erste Abtheilung: Die Vertheilung des landwirthschaftlich benutzten Grundeigenthums und das gemeine Erbrecht. (Schriften des Vereins für Socialpolitik XX).</t>
  </si>
  <si>
    <t>Miaskowski, August von</t>
  </si>
  <si>
    <t>Verhandlungen der am 9. und 10. October 1882 in Frankfurt a.M. abgehaltenen Generalversammlung des Vereins für Socialpolitik über Grundeigenthumsvertheilung und Erbrechtsreform</t>
  </si>
  <si>
    <t>Bäuerliche Zustände in Deutschland. : Berichte veröffentlicht vom Verein für Socialpolitik. Erster Band. (Schriften des Vereins für Socialpolitik XXII).</t>
  </si>
  <si>
    <t>Bäuerliche Zustände in Deutschland. : Berichte veröffentlicht vom Verein für Socialpolitik. Zweiter Band. (Schriften des Vereins für Socialpolitik XXIII).</t>
  </si>
  <si>
    <t>Bäuerliche Zustände in Deutschland. : Berichte veröffentlicht vom Verein für Socialpolitik. Dritter Band. (Schriften des Vereins für Socialpolitik XXIV).</t>
  </si>
  <si>
    <t>Das Erbrecht und die Grundeigenthumsvertheilung im Deutschen Reiche. : Ein socialwirthschaftlicher Beitrag zur Kritik und Reform des deutschen Erbrechts. Zweite Abtheilung: Das Familienfideicommiß, das landwirthschaftliche Erbgut und das Anerbenrecht. (Schriften des Vereins für Socialpolitik XXV).</t>
  </si>
  <si>
    <t>Die Arbeiterversicherung in Frankreich. : (Schriften des Vereins für Socialpolitik XXVI).</t>
  </si>
  <si>
    <t>Osten, Max von der</t>
  </si>
  <si>
    <t>Agrarische Zustände in Frankreich und England. : Auf Grund der neueren Enquêten dargestellt. (Schriften des Vereins für Socialpolitik XXVII).</t>
  </si>
  <si>
    <t>Reitzenstein, Friedrich Frhr. von</t>
  </si>
  <si>
    <t>Verhandlungen der am 6. und 7. October 1884 in Frankfurt a.M. abgehaltenen Generalversammlung des Vereins für Socialpolitik über Maßregeln der Gesetzgebung und Verwaltung zur Erhaltung des bäuerlichen Grundbesitzes : und über die Einwirkung der Organisation unserer höheren und mittleren Schulen auf das sociale Leben und die Erwerbsthätigkeit der Nation. Auf Grund der stenogr. Niederschrift hrsg. vom Ständigen Ausschuß. (Schriften des Vereins für Socialpolitik XXVIII).</t>
  </si>
  <si>
    <t>Agrarische Zustände in Italien. : Auf Grund der jüngsten Enquête und anderer offizieller Quellen dargestellt. (Schriften des Vereins für Socialpolitik XXIX).</t>
  </si>
  <si>
    <t>Eheberg, Karl Theodor</t>
  </si>
  <si>
    <t>Die Wohnungsnoth der ärmeren Klassen in deutschen Großstädten und Vorschläge zu deren Abhülfe. : Erster Band. Gutachten und Berichte hrsg. im Auftrage des Vereins für Socialpolitik. (Schriften des Vereins für Socialpolitik XXX).</t>
  </si>
  <si>
    <t>Die Wohnungsnoth der ärmeren Klassen in deutschen Großstädten und Vorschläge zu deren Abhülfe. : Zweiter Band. Gutachten und Berichte hrsg. im Auftrage des Vereins für Socialpolitik. (Schriften des Vereins für Socialpolitik XXXI).</t>
  </si>
  <si>
    <t>Zur inneren Kolonisation in Deutschland. : Erfahrungen und Vorschläge hrsg. im Auftrage des Vereins für Socialpolitik. (Schriften des Vereins für Socialpolitik XXXII).</t>
  </si>
  <si>
    <t>Verhandlungen der am 24. und 25. September 1886 in Frankfurt a.M. abgehaltenen Generalversammlung des Vereins für Socialpolitik über die Wohnungsverhältnisse der ärmeren Klassen in deutschen Großstädten : und über innere Kolonisation mit Rücksicht auf die Erhaltung und Vermehrung des mittleren und kleineren ländlichen Grundbesitzes. Auf Grund der stenographischen Niederschrift hrsg. vom Ständigen Ausschuß. (Schriften des Vereins für Socialpolitik XXXIII).</t>
  </si>
  <si>
    <t>Die Vorbildung zum höheren Verwaltungsdienste in den deutschen Staaten, Oesterreich und Frankreich. : Berichte und Gutachten veröffentlicht vom Verein für Socialpolitik. (Schriften des Vereins für Socialpolitik XXXIV).</t>
  </si>
  <si>
    <t>Der Wucher auf dem Lande. : Berichte und Gutachten veröffentlicht vom Verein für Socialpolitik. (Schriften des Vereins für Socialpolitik XXXV).</t>
  </si>
  <si>
    <t>Der Einfluß des Zwischenhandels auf die Preise auf Grund der Preisentwicklung im aachener Kleinhandel. : Untersuchungen über den Einfluß der distributiven Gewerbe auf die Preise, erstes Heft. (Schriften des Vereins für Socialpolitik XXXVI).</t>
  </si>
  <si>
    <t>Borght, Richard van der</t>
  </si>
  <si>
    <t>Litteratur, heutige Zustände und Entstehung der deutschen Hausindustrie. : Nach den vorliegenden gedruckten Quellen. Die deutsche Hausindustrie, erster Band. (Schriften des Vereins für Socialpolitik XXXIX).</t>
  </si>
  <si>
    <t>Stieda, Wilhelm</t>
  </si>
  <si>
    <t>Die Hausindustrie im nördlichen Thüringen. : Berichte. Die deutsche Hausindustrie, zweiter Band. (Schriften des Vereins für Socialpolitik XL).</t>
  </si>
  <si>
    <t>Berichte aus der Hausindustrie im südwestlichen Deutschland. : Die deutsche Hausindustrie, dritter Band. (Schriften des Vereins für Socialpolitik XLI).</t>
  </si>
  <si>
    <t>Berichte aus der Hausindustrie in Berlin, Osnabrück, im Fichtelgebirge und in Schlesien. : Die deutsche Hausindustrie, vierter Band. (Schriften des Vereins für Socialpolitik XLII).</t>
  </si>
  <si>
    <t>Die Landgemeinde in den östlichen Provinzen Preußens und die Versuche, eine Landgemeindeordnung zu schaffen. : (Schriften des Vereins für Socialpolitik XLIII).</t>
  </si>
  <si>
    <t>Keil, Friedrich</t>
  </si>
  <si>
    <t>Berichte über die Zustände und die Reform des ländlichen Gemeindewesens in Preußen. : (Schriften des Vereins für Socialpolitik XLIV).</t>
  </si>
  <si>
    <t>Arbeitseinstellungen und Fortbildung des Arbeitsvertrags. : Berichte im Auftrage des Vereins für Socialpolitik hrsg. und eingel. von Lujo Brentano. (Schriften des Vereins für Socialpolitik XLV).</t>
  </si>
  <si>
    <t>Brentano, Lujo</t>
  </si>
  <si>
    <t>Arbeiter-Ausschüsse in der deutschen Industrie. : Gutachten, Berichte, Statuten hrsg. im Auftrage des Vereins für Socialpolitik. (Schriften des Vereins für Socialpolitik XLVI).</t>
  </si>
  <si>
    <t>Verhandlungen der am 26. und 27. September 1890 in Frankfurt a.M. abgehaltenen Generalversammlung des Vereins für Socialpolitik über die Reform der Landgemeindeordnung in Preußen : und über Arbeitseinstellungen und die Fortbildung des Arbeitsvertrags. Auf Grund der stenographischen Niederschrift hrsg. vom Ständigen Ausschuß. (Schriften des Vereins für Socialpolitik XLVII).</t>
  </si>
  <si>
    <t>Die Hausindustrie in der Stadt Leipzig und ihrer Umgebung. : Die deutsche Hausindustrie, fünfter Band. (Schriften des Vereins für Socialpolitik XLVIII).</t>
  </si>
  <si>
    <t>Lehr, Adolf</t>
  </si>
  <si>
    <t>Die Ideen der deutschen Handelspolitik von 1860 bis 1891. : Die Handelspolitik der wichtigeren Kulturstaaten in den letzten Jahrzehnten, zweiter Band. (Schriften des Vereins für Socialpolitik L).</t>
  </si>
  <si>
    <t>Die Handelspolitik Nordamerikas, Italiens, Österreichs, Belgiens, der Niederlande, Dänemarks, Schwedens und Norwegens, Rußlands und der Schweiz in den letzten Jahrzehnten sowie die deutsche Handelsstatistik von 1880 bis 1890. : Berichte und Gutachten veröffentlicht vom Verein für Socialpolitik. Die Handelspolitik der wichtigeren Kulturstaaten in den letzten Jahrzehnten, erster Band. (Schriften des Vereins für Socialpolitik XLIX).</t>
  </si>
  <si>
    <t>Die Handelspolitik der Balkanstaaten Rumänien, Serbien und Bulgarien, Spaniens und Frankreichs in den letzten Jahrzehnten. : Berichte und Gutachten veröffentlicht vom Verein für Socialpolitik. Die Handelspolitik der wichtigeren Kulturstaaten in den letzten Jahrzehnten, dritter Band. (Schriften des Vereins für Socialpolitik LI).</t>
  </si>
  <si>
    <t>Auswanderung und Auswanderungspolitik in Deutschland. : Berichte über die Entwicklung und den gegenwärtigen Zustand des Auswanderungswesens in den Einzelstaaten und im Reich. Im Auftrage des Vereins für Socialpolitik hrsg. (Schriften des Vereins für Socialpolitik LII).</t>
  </si>
  <si>
    <t>Philippovich, Eugen von</t>
  </si>
  <si>
    <t>Die Verhältnisse der Landarbeiter in Nordwestdeutschland, Württemberg, Baden und in den Reichslanden. : Geschildert auf Grund der vom Verein für Socialpolitik veranstalteten Erhebungen. Mit einem Anhang: Zur Statistik der deutschen Landarbeiter. Die Verhältnisse der Landarbeiter in Deutschland, erster Band. (Schriften des Vereins für Socialpolitik LIII).</t>
  </si>
  <si>
    <t>Die Verhältnisse der Landarbeiter in Hohenzollern, im Reg.-Bez. Wiesbaden, in Thüringen, Bayern, im Großherzogtum Hessen, Reg.-Bez. Kassel, Königreich Sachsen, in den Provinzen Schleswig-Holstein, Sachsen und Hannover südl. Teil, in den Herzogtümern : Braunschweig und Anhalt, in der Rheinprovinz und im Fürstentum Birkenfeld. Geschildert auf Grund der vom Ver. f. Socialpol. veranst. Erhebungen. Die Verhältnisse der Landarbeiter in Deutschland, zweiter Band. (Schriften des Vereins für Socialpolitik LIV).</t>
  </si>
  <si>
    <t>Die Verhältnisse der Landarbeiter im ostelbischen Deutschland (Preußische Provinzen Ost- und Westpreußen, Pommern, Posen, Schlesien, Brandenburg, Großherzogtümer Mecklenburg, Kreis Herzogtum Lauenburg). : Dargestellt auf Grund der vom Verein für Socialpolitik veranstalteten Erhebungen. Die Verhältnisse der Landarbeiter in Deutschland, dritter Band. (Schriften des Vereins für Socialpolitik LV).</t>
  </si>
  <si>
    <t>Weber, Max</t>
  </si>
  <si>
    <t>Die innere Kolonisation im östlichen Deutschland. : (Schriften des Vereins für Socialpolitik LVI).</t>
  </si>
  <si>
    <t>Die Handelspolitik Englands und seiner Kolonien in den letzten Jahrzehnten. : Die Handelspolitik der wichtigeren Kulturstaaten in den letzten Jahrzehnten, vierter Band. (Schriften des Vereins für Socialpolitik LVII).</t>
  </si>
  <si>
    <t>Verhandlungen der am 20. und 21. März 1893 in Berlin abgehaltenen Generalversammlung des Vereins für Socialpolitik über die ländliche Arbeiterfrage und über die Bodenbesitzverteilung und die Sicherung des Kleingrundbesitzes. : Auf Grund der stenographischen Niederschrift hrsg. vom Ständigen Ausschuß. (Schriften des Vereins für Socialpolitik LVIII).</t>
  </si>
  <si>
    <t>Die englischen Landarbeiter in den letzten hundert Jahren und die Einhegungen. : Mit einem Anhange über die ländlichen socialen Verhältnisse in Dänemark und Schweden von William Scharling und Pontus Fahlbeck. (Schriften des Vereins für Socialpolitik LIX).</t>
  </si>
  <si>
    <t>Hasbach, Wilhelm</t>
  </si>
  <si>
    <t>Über wirtschaftliche Kartelle in Deutschland und im Auslande. : Fünfzehn Schilderungen nebst einer Anzahl Statuten und Beilagen. (Schriften des Vereins für Socialpolitik LX).</t>
  </si>
  <si>
    <t>Verhandlungen der am 28. und 29. September 1894 in Wien abgehaltenen Generalversammlung des Vereins für Socialpolitik über die Kartelle und über das ländliche Erbrecht. : Auf Grund der stenographischen Niederschrift hrsg. vom Ständigen Ausschuß. (Schriften des Vereins für Socialpolitik LXI).</t>
  </si>
  <si>
    <t>Untersuchungen über die Lage des Handwerks in Deutschland mit besonderer Rücksicht auf seine Konkurrenzfähigkeit gegenüber der Großindustrie. : Erster Band: Königreich Preußen. Erster Teil. (Schriften des Vereins für Socialpolitik LXII).</t>
  </si>
  <si>
    <t>Untersuchungen über die Lage des Handwerks in Deutschland mit besonderer Rücksicht auf seine Konkurrenzfähigkeit gegenüber der Großindustrie. : Zweiter Band: Königreich Sachsen: Arbeiten aus dem Volkswirthschaftlich-statistischen Seminar der Universität Leipzig. Erster Teil. (Schriften des Vereins für Socialpolitik LXIII).</t>
  </si>
  <si>
    <t>Untersuchungen über die Lage des Handwerks in Deutschland mit besonderer Rücksicht auf seine Konkurrenzfähigkeit gegenüber der Großindustrie. : Dritter Band: Süddeutschland. (Schriften des Vereins für Socialpolitik LXIV).</t>
  </si>
  <si>
    <t>Untersuchungen über die Lage des Handwerks in Deutschland mit besonderer Rücksicht auf seine Konkurrenzfähigkeit gegenüber der Großindustrie. : Vierter Band: Königreich Preußen. Zweiter Teil. (Schriften des Vereins für Socialpolitik LXV).</t>
  </si>
  <si>
    <t>Untersuchungen über die Lage des Handwerks in Deutschland mit besonderer Rücksicht auf seine Konkurrenzfähigkeit gegenüber der Großindustrie. : Fünfter Band: Königreich Sachsen: Arbeiten aus dem Volkswirthschaftlich-statistischen Seminar der Universität Leipzig. Zweiter Teil. (Schriften des Vereins für Socialpolitik LXVI).</t>
  </si>
  <si>
    <t>Untersuchungen über die Lage des Handwerks in Deutschland mit besonderer Rücksicht auf seine Konkurrenzfähigkeit gegenüber der Großindustrie. : Sechster Band: Königreich Sachsen. Dritter Teil. (Schriften des Vereins für Socialpolitik LXVII).</t>
  </si>
  <si>
    <t>Untersuchungen über die Lage des Handwerks in Deutschland mit besonderer Rücksicht auf seine Konkurrenzfähigkeit gegenüber der Großindustrie. : Siebenter Band: Königreich Preußen. Dritter Teil. (Schriften des Vereins für Socialpolitik LXVIII).</t>
  </si>
  <si>
    <t>Untersuchungen über die Lage des Handwerks in Deutschland mit besonderer Rücksicht auf seine Konkurrenzfähigkeit gegenüber der Großindustrie. : Achter Band: Süddeutschland. Zweiter Teil. (Schriften des Vereins für Socialpolitik LXIX).</t>
  </si>
  <si>
    <t>Untersuchungen über die Lage des Handwerks in Deutschland mit besonderer Rücksicht auf seine Konkurrenzfähigkeit gegenüber der Großindustrie. : Neunter Band: Verschiedene Staaten. Mit einem Verzeichnis der Mitarbeiter, einem Orts- und Sachregister. (Schriften des Vereins für Socialpolitik LXX).</t>
  </si>
  <si>
    <t>Untersuchungen über die Lage des Handwerks in Österreich mit besonderer Rücksicht auf seine Konkurrenzfähigkeit gegenüber der Großindustrie. : (Schriften des Vereins für Socialpolitik LXXI).</t>
  </si>
  <si>
    <t>Englische Auswanderung und Auswanderungspolitik : im neunzehnten Jahrhundert. Von Karl Rathgen – Einwanderung und Einwanderungsgesetzgebung in Nordamerika und Brasilien. Von Richmond Mayo-Smith - Rudolph A. Hehl. (Schriften des Vereins für Socialpolitik LXXII).</t>
  </si>
  <si>
    <t>Rathgen, Karl</t>
  </si>
  <si>
    <t>Der Personalkredit des ländlichen Kleingrundbesitzes in Deutschland. : Berichte und Gutachten veröffentlicht vom Verein für Socialpolitik. Erster Band: Süddeutschland. (Schriften des Vereins für Socialpolitik LXXIII).</t>
  </si>
  <si>
    <t>Der Personalkredit des ländlichen Kleingrundbesitzes in Deutschland. : Berichte und Gutachten veröffentlicht vom Verein für Socialpolitik. Zweiter Band: Mittel- und Norddeutschland. (Schriften des Vereins für Socialpolitik LXXIV).</t>
  </si>
  <si>
    <t>Der Personalkredit des ländlichen Kleingrundbesitzes in Österreich. : Berichte und Gutachten veröffentlicht vom Verein für Socialpolitik. (Schriften des Vereins für Socialpolitik LXXV).</t>
  </si>
  <si>
    <t>Verhandlungen der am 23., 24. und 25. September 1897 in Köln a. Rh. abgehaltenen Generalversammlung des Vereins für Socialpolitik über die Handwerkerfrage, den ländlichen Personalkredit : und die Handhabung des Vereins- und Koalitionsrechts der Arbeiter im Deutschen Reiche. Auf Grund der stenographischen Niederschrift hrsg. vom Ständigen Ausschuß. (Schriften des Vereins für Socialpolitik LXXVI).</t>
  </si>
  <si>
    <t>Untersuchungen über die Lage des Hausiergewerbes in Deutschland. : Erster Band. (Schriften des Vereins für Socialpolitik LXXVII).</t>
  </si>
  <si>
    <t>Untersuchungen über die Lage des Hausiergewerbes in Deutschland. : Zweiter Band: Westerwälder Hausierer und Landgänger. Von Johann Plenge. (Schriften des Vereins für Socialpolitik LXXVIII).</t>
  </si>
  <si>
    <t>Untersuchungen über die Lage des Hausiergewerbes in Deutschland. : Dritter Band. (Schriften des Vereins für Socialpolitik LXXIX).</t>
  </si>
  <si>
    <t>Untersuchungen über die Lage des Hausiergewerbes in Deutschland. : Vierter Band. (Schriften des Vereins für Socialpolitik LXXX).</t>
  </si>
  <si>
    <t>Untersuchungen über die Lage des Hausiergewerbes in Deutschland. : Fünfter Band. Mit einem Sachregister über die Bände 77–81. (Schriften des Vereins für Socialpolitik LXXXI).</t>
  </si>
  <si>
    <t>Untersuchungen über die Lage des Hausiergewerbes in Österreich. : (Schriften des Vereins für Socialpolitik LXXXII).</t>
  </si>
  <si>
    <t>Untersuchungen über die Lage des Hausiergewerbes in Schweden, Italien, Großbritannien und der Schweiz. : (Schriften des Vereins für Socialpolitik LXXXIII).</t>
  </si>
  <si>
    <t>Hausindustrie und Heimarbeit in Deutschland und Österreich. : Erster Band: Süddeutschland und Schlesien. (Schriften des Vereins für Socialpolitik LXXXIV).</t>
  </si>
  <si>
    <t>Hausindustrie und Heimarbeit in Deutschland und Österreich. : Dritter Band: Mittel- und Westdeutschland – Österreich. (Schriften des Vereins für Socialpolitik LXXXVI).</t>
  </si>
  <si>
    <t>Hausindustrie und Heimarbeit in Deutschland und Österreich. : Zweiter Band: Die Hausindustrie der Frauen in Berlin. (Schriften des Vereins für Socialpolitik LXXXV).</t>
  </si>
  <si>
    <t>Hausindustrie und Heimarbeit in Deutschland und Österreich. : Vierter Band: Gesetzgebung, Statistik und Übersichten. (Schriften des Vereins für Socialpolitik LXXXVII).</t>
  </si>
  <si>
    <t>Verhandlungen der am 25., 26. und 27. September 1899 in Breslau abgehaltenen Generalversammlung des Vereins für Socialpolitik über die Hausindustrie und ihre gesetzliche Regelung, die Lage des Hausiergewerbes : und die Entwicklungstendenzen im modernen Kleinhandel. Auf Grund der stenographischen Niederschrift hrsg. vom Ständigen Ausschuß. (Schriften des Vereins für Socialpolitik LXXXVIII).</t>
  </si>
  <si>
    <t>Eisenbahntarife und Wasserfrachten. : Studien zur Frage der Gebührenerhebung auf Binnenwasserstraßen. Im Auftrage des Vereins für Socialpolitik hrsg. und eingel. von Walther Lotz. (Schriften des Vereins für Socialpolitik LXXXIX).</t>
  </si>
  <si>
    <t>Beiträge zur neuesten Handelspolitik Deutschlands. : Zweiter Band. Hrsg. vom Verein für Socialpolitik. (Schriften des Vereins für Socialpolitik XCI).</t>
  </si>
  <si>
    <t>Beiträge zur neuesten Handelspolitik Deutschlands. : Erster Band. Hrsg. vom Verein für Socialpolitik. (Schriften des Vereins für Socialpolitik XC).</t>
  </si>
  <si>
    <t>Beiträge zur neuesten Handelspolitik Deutschlands. : Dritter Band. Hrsg. vom Verein für Socialpolitik. (Schriften des Vereins für Socialpolitik XCII).</t>
  </si>
  <si>
    <t>Beiträge zur neuesten Handelspolitik Österreichs. : Hrsg. vom Verein für Socialpolitik. (Schriften des Vereins für Socialpolitik XCIII).</t>
  </si>
  <si>
    <t>Neue Untersuchungen über die Wohnungsfrage in Deutschland und im Ausland. : Erster Band: Deutschland und Österreich. Erste Abteilung. Hrsg. vom Verein für Socialpolitik. (Schriften des Vereins für Socialpolitik XCIV).</t>
  </si>
  <si>
    <t>Neue Untersuchungen über die Wohnungsfrage in Deutschland und im Ausland. : Erster Band: Deutschland und Österreich. Zweite Abteilung. Hrsg. vom Verein für Socialpolitik. (Schriften des Vereins für Socialpolitik XCV).</t>
  </si>
  <si>
    <t>Neue Untersuchungen über die Wohnungsfrage in Deutschland und im Ausland. : Dritter Band: Schweiz, England, Frankreich, Belgien, Vereinigte Staaten, Rußland, Norwegen, Schweden, Dänemark. Hrsg. vom Verein für Socialpolitik. (Schriften des Vereins für Socialpolitik XCVII).</t>
  </si>
  <si>
    <t>Neue Untersuchungen über die Wohnungsfrage in Deutschland und im Ausland. : Zweiter Band: Deutschland und Österreich. Hrsg. vom Verein für Socialpolitik. (Schriften des Vereins für Socialpolitik XCVI).</t>
  </si>
  <si>
    <t>Verhandlungen des Vereins für Socialpolitik über die Wohnungsfrage und die Handelspolitik. : (Verhandlungen der Generalversammlung in München, 23., 24. und 25. September 1901. Auf Grund der stenographischen Niederschrift hrsg. vom Ständigen Ausschuß.) (Schriften des Vereins für Socialpolitik XCVIII).</t>
  </si>
  <si>
    <t>Die Schiffahrt der deutschen Ströme. : Untersuchungen über deren Abgabenwesen, Regulierungskosten und Verkehrsverhältnisse. Erster Band. Vom Verein für Socialpolitik herausgegeben. (Schriften des Vereins für Socialpolitik C).</t>
  </si>
  <si>
    <t>Untersuchungen über die Lage der Angestellten und Arbeiter in den Verkehrsgewerben. : Hrsg. vom Verein für Socialpolitik. (Schriften des Vereins für Socialpolitik XCIX).</t>
  </si>
  <si>
    <t>Die Schiffahrt der deutschen Ströme. : Untersuchungen über deren Abgabenwesen, Regulierungskosten und Verkehrsverhältnisse. Zweiter Band: Geschichtliche Entwicklung der Rheinschiffahrt im XIX. Jahrhundert. Im Auftr. des Ver. für Socialpolitik hrsg. (Schriften des Vereins für Socialpolitik CI).</t>
  </si>
  <si>
    <t>Gothein, Eberhard</t>
  </si>
  <si>
    <t>Die Schiffahrt der deutschen Ströme. : Untersuchungen über deren Abgabenwesen, Regulierungskosten und Verkehrsverhältnisse. Dritter Band. Im Auftrage des Vereins für Socialpolitik herausgegeben. (Schriften des Vereins für Socialpolitik CII).</t>
  </si>
  <si>
    <t>Die wirtschaftliche und technische Entwicklung der Seeschiffahrt von der Mitte des 19. Jahrhunderts bis auf die Gegenwart. : Mit einer Vorbemerkung von Ernst Francke. (Die Lage der in der Seeschiffahrt beschäftigten Arbeiter. Erster Band). (Schriften des Vereins für Socialpolitik CIII).</t>
  </si>
  <si>
    <t>Fitger, Emil</t>
  </si>
  <si>
    <t>Die Lage der in der Seeschiffahrt beschäftigten Arbeiter. : Zweiter Band, erste Abteilung. (Schriften des Vereins für Socialpolitik CIV-1).</t>
  </si>
  <si>
    <t>Die Lage der in der Seeschiffahrt beschäftigten Arbeiter. : Zweiter Band, zweite Abteilung: Die Lage der in der Seeschiffahrt beschäftigten Arbeiter in Österreich. (Schriften des Vereins für Socialpolitik CIV-2).</t>
  </si>
  <si>
    <t>Die Störungen im deutschen Wirtschaftsleben während der Jahre 1900 ff. : Zweiter Band: Montan- und Eisenindustrie. Vom Verein für Socialpolitik herausgegeben. (Schriften des Vereins für Socialpolitik CVI).</t>
  </si>
  <si>
    <t>Die Störungen im deutschen Wirtschaftsleben während der Jahre 1900 ff. : Erster Band: Textilindustrie. Vom Verein für Socialpolitik herausgegeben. (Schriften des Vereins für Socialpolitik CV).</t>
  </si>
  <si>
    <t>Die Störungen im deutschen Wirtschaftsleben während der Jahre 1900 ff. : Dritter Band: Maschinenindustrie – Elektrotechnische Industrie – Schiffsbaugewerbe – Papierindustrie. Vom Verein für Socialpolitik herausgegeben. (Schriften des Vereins für Socialpolitik CVII).</t>
  </si>
  <si>
    <t>Die Störungen im deutschen Wirtschaftsleben während der Jahre 1900 ff. : Vierter Band: Verkehrsgewerbe. Vom Verein für Socialpolitik herausgegeben. (Schriften des Vereins für Socialpolitik CVIII).</t>
  </si>
  <si>
    <t>Die Störungen im deutschen Wirtschaftsleben während der Jahre 1900 ff. : Fünfter Band: Die Krisis auf dem Arbeitsmarkte. Vom Verein für Socialpolitik herausgegeben. (Schriften des Vereins für Socialpolitik CIX).</t>
  </si>
  <si>
    <t>Die Störungen im deutschen Wirtschaftsleben während der Jahre 1900 ff. : Siebenter Band: Hypothekenbanken – Immobiliarverhältnisse – Baugewerbe. Vom Verein für Socialpolitik herausgegeben. (Schriften des Vereins für Socialpolitik CXI).</t>
  </si>
  <si>
    <t>Verhandlungen des Vereins für Socialpolitik über die Lage der in der Seeschiffahrt beschäftigten Arbeiter und über die Störungen im deutschen Wirtschaftsleben während der Jahre 1900 ff. : (Verhandlungen der Generalversammlung in Hamburg, 14., 15. und 16. September 1903. Auf Grund der stenographischen Niederschrift hrsg. vom Ständigen Ausschuß.) (Schriften des Vereins für Socialpolitik CXIII).</t>
  </si>
  <si>
    <t>Schiffahrtsabgaben. : Erster Teil: Die Rechtslage. Im Auftrag des Vereins für Socialpolitik herausgegeben. (Schriften des Vereins für Socialpolitik CXV-1).</t>
  </si>
  <si>
    <t>Peters, Max</t>
  </si>
  <si>
    <t>Schiffahrtsabgaben. : Zweiter Teil: Die wirtschaftliche Lage. – Dritter Teil: Die verkehrspolitische Lage. Im Auftrag des Vereins für Socialpolitik herausgegeben. (Schriften des Vereins für Socialpolitik CXV-2+3).</t>
  </si>
  <si>
    <t>Verhandlungen des Vereins für Socialpolitik über die finanzielle Behandlung der Binnenwasserstraßen, über das Arbeitsverhältnis in den privaten Riesenbetrieben und das Verhältnis der Kartelle zum Staate. : (Verhandlungen der Generalversammlung in Mannheim, 25., 26. und 27. September 1905. Auf Grund der stenographischen Niederschrift hrsg. vom Ständigen Ausschuß.) (Schriften des Vereins für Socialpolitik 116).</t>
  </si>
  <si>
    <t>Verfassung und Verwaltungsorganisation der Städte. : Erster Band: Königreich Preußen. Erster Band. Im Auftrag des Vereins für Socialpolitik herausgegeben. (Schriften des Vereins für Socialpolitik 117).</t>
  </si>
  <si>
    <t>Verfassung und Verwaltungsorganisation der Städte. : Zweiter Band: Königreich Preußen. Zweiter Band. Im Auftrag des Vereins für Socialpolitik herausgegeben. (Schriften des Vereins für Socialpolitik 118).</t>
  </si>
  <si>
    <t>Preußische Städte im Gebiete des polnischen Nationalitätenkampfes. : Verfassung und Verwaltungsorganisation der Städte. Dritter Band: Königreich Preußen. Dritter Band, erster Teil. (Schriften des Vereins für Socialpolitik 119-I).</t>
  </si>
  <si>
    <t>Bernhard, Ludwig</t>
  </si>
  <si>
    <t>Die Stadt Posen unter preußischer Herrschaft. : Ein Beitrag zur Geschichte des deutschen Ostens. Verfassung und Verwaltungsorganisation der Städte. III. Band: Königreich Preußen. III. Band, 2. Teil. Im Auftrag des Vereins für Socialpolitik hrsg. (Schriften des Vereins für Socialpolitik 119-II).</t>
  </si>
  <si>
    <t>Jaffé, Moritz</t>
  </si>
  <si>
    <t>Verfassung und Verwaltungsorganisation der Städte. : Vierter Band, erstes Heft: Königreich Sachsen. Im Auftrag des Vereins für Socialpolitik herausgegeben. (Schriften des Vereins für Socialpolitik 120-I).</t>
  </si>
  <si>
    <t>Verfassung und Verwaltungsorganisation der Städte. : Vierter Band, zweites Heft: Königreich Württemberg. Im Auftrag des Vereins für Socialpolitik herausgegeben. (Schriften des Vereins für Socialpolitik 120-II).</t>
  </si>
  <si>
    <t>Springer, Eduard</t>
  </si>
  <si>
    <t>Verfassung und Verwaltungsorganisation der Städte. : Vierter Band, drittes Heft: Großherzogtum Baden. Im Auftrag des Vereins für Socialpolitik herausgegeben. (Schriften des Vereins für Socialpolitik 120-III).</t>
  </si>
  <si>
    <t>Verfassung und Verwaltungsorganisation der Städte. : Vierter Band, viertes Heft: Königreich Bayern. Im Auftrag des Vereins für Socialpolitik herausgegeben. (Schriften des Vereins für Socialpolitik 120-IV).</t>
  </si>
  <si>
    <t>Verfassung und Verwaltungsorganisation der Städte. : Vierter Band, fünftes Heft: Die Hansestädte. Im Auftrag des Vereins für Socialpolitik herausgegeben. (Schriften des Vereins für Socialpolitik 120-V).</t>
  </si>
  <si>
    <t>Verfassung und Verwaltungsorganisation der Städte. : Sechster Band: Österreich. Im Auftrag des Vereins für Socialpolitik herausgegeben. (Schriften des Vereins für Socialpolitik 122).</t>
  </si>
  <si>
    <t>Verfassung und Verwaltungsorganisation der Städte. : Fünfter Band: Die Schweiz. Im Auftrag des Vereins für Socialpolitik herausgegeben. (Schriften des Vereins für Socialpolitik 121).</t>
  </si>
  <si>
    <t>Verfassung und Verwaltungsorganisation der Städte. : Siebenter Band: England – Frankreich – Nordamerika. Im Auftrag des Vereins für Socialpolitik herausgegeben. (Schriften des Vereins für Socialpolitik 123).</t>
  </si>
  <si>
    <t>Die Deutschen Arbeitgeber-Verbände. : Im Auftrage des Vereins für Socialpolitik herausgegeben. (Schriften des Vereins für Socialpolitik 124).</t>
  </si>
  <si>
    <t>Kessler, Gerhard</t>
  </si>
  <si>
    <t>Verhandlungen des Vereins für Socialpolitik über die berufsmäßige Vorbildung der volkswirtschaftlichen Beamten und über Verfassung und Verwaltungsorganisation der Städte. : Als Anhang: Nachtrag zu Band 120-II. (Verhandlungen der Generalversammlung in Magdeburg, 30. September, 1. und 2. Oktober 1907. Auf Grund der stenographischen Niederschrift hrsg. vom Ständigen Ausschuß.) (Schriften des Vereins für Socialpolitik 125).</t>
  </si>
  <si>
    <t>Gemeindefinanzen. : Erster Band: System der Gemeindebesteuerung in Hessen, Württemberg, Baden, Elsaß-Lothringen, Bayern, Sachsen, Preußen. Im Auftrag des Vereins für Socialpolitik herausgegeben. (Schriften des Vereins für Socialpolitik 126).</t>
  </si>
  <si>
    <t>Gemeindefinanzen. : Zweiter Band, erster Teil: Einzelfragen der Finanzpolitik der Gemeinden. Im Auftrag des Vereins für Socialpolitik herausgegeben. (Schriften des Vereins für Socialpolitik 127-I).</t>
  </si>
  <si>
    <t>Most, Otto</t>
  </si>
  <si>
    <t>Gemeindefinanzen. : Zweiter Band, dritter Teil: Die Entwicklung und die Probleme des Gemeindeabgabenwesens in den Städten und großen Landgemeinden der preußischen Industriebetriebe. Im Auftr. des Ver. für Socialpolitik hrsg. (Schriften des Vereins für Socialpolitik 127-III).</t>
  </si>
  <si>
    <t>Gemeindefinanzen. : Zweiter Band, zweiter Teil: Die Gemeindefinanzstatistik in Deutschland. Ziele, Wege, Ergebnisse. Im Auftrag des Vereins für Socialpolitik herausgegeben. (Schriften des Vereins für Socialpolitik 127-II).</t>
  </si>
  <si>
    <t>Lücker, Heinrich</t>
  </si>
  <si>
    <t>Gemeindebetriebe. : Neuere Versuche und Erfahrungen über die Ausdehnung der kommunalen Tätigkeit in Deutschland und im Ausland. Erster Band. (Schriften des Vereins für Socialpolitik 128).</t>
  </si>
  <si>
    <t>Die Gemeindebetriebe Münchens. : Gemeindebetriebe – Neuere Versuche und Erfahrungen über die Ausdehnung der kommunalen Tätigkeit in Deutschland und im Ausland. II. Band, 1. Teil. Im Auftr. des Ver. für Socialpol. hrsg. von Carl J. Fuchs. (Schriften des Vereins für Socialpolitik 129-I).</t>
  </si>
  <si>
    <t>Die Gemeindebetriebe der Stadt Düsseldorf. : Gemeindebetriebe – Neuere Versuche und Erfahrungen über die Ausdehnung der kommunalen Tätigkeit in Deutschland und im Ausland. II. Band, 2. Teil. Im Auftr. des Ver. für Socialpol. hrsg. von Carl J. Fuchs. (Schriften des Vereins für Socialpolitik 129-II).</t>
  </si>
  <si>
    <t>Die Gemeindebetriebe der Städte Magdeburg, Naumburg a.S., Frankfurt a.M. : Gemeindebetriebe – Neuere Versuche und Erfahrungen über die Ausdehnung der kommunalen Tätigkeit in Deutschland und im Ausland. Zweiter Band, dritter Teil. (Schriften des Vereins für Socialpolitik 129-III).</t>
  </si>
  <si>
    <t>Die Gemeindebetriebe Mannheims. : Gemeindebetriebe – Neuere Versuche und Erfahrungen über die Ausdehnung der kommunalen Tätigkeit in Deutschland und im Ausland. II. Band, 4. Teil. Im Auftr. des Ver. für Socialpol. hrsg. von Carl J. Fuchs. (Schriften des Vereins für Socialpolitik 129-IV).</t>
  </si>
  <si>
    <t>Die Gemeindebetriebe der Stadt Freiburg im Breisgau. : Gemeindebetriebe – Neuere Versuche und Erfahrungen über die Ausdehnung der kommunalen Tätigkeit in Deutschland und im Ausland. II. Band, 5. Teil. Im Auftr. des Ver. für Socialpol. hrsg. von Carl J. Fuchs. (Schriften des Vereins für Socialpolitik 129-V).</t>
  </si>
  <si>
    <t>Die Gemeindebetriebe der Stadt Remscheid. : Gemeindebetriebe – Neuere Versuche und Erfahrungen über die Ausdehnung der kommunalen Tätigkeit in Deutschland und im Ausland. II. Band, 6. Teil. Im Auftr. des Ver. für Socialpol. hrsg. von Carl J. Fuchs. (Schriften des Vereins für Socialpolitik 129-VI).</t>
  </si>
  <si>
    <t>Die Gemeindebetriebe der Stadt Leipzig. : Gemeindebetriebe – Neuere Versuche und Erfahrungen über die Ausdehnung der kommunalen Tätigkeit in Deutschland und im Ausland. II. Band, 7. Teil. Im Auftr. des Ver. für Socialpol. hrsg. von Carl J. Fuchs. (Schriften des Vereins für Socialpolitik 129-VII).</t>
  </si>
  <si>
    <t>Die Gemeindebetriebe der Stadt Halle a.S. : Gemeindebetriebe – Neuere Versuche und Erfahrungen über die Ausdehnung der kommunalen Tätigkeit in Deutschland und im Ausland. Zweiter Band, achter Teil. (Schriften des Vereins für Socialpolitik 129-VIII).</t>
  </si>
  <si>
    <t>Die Gemeindebetriebe der Stadt Königsberg i.Pr. : Gemeindebetriebe – Neuere Versuche und Erfahrungen über die Ausdehnung der kommunalen Tätigkeit in Deutschland und im Ausland. II. Band, 9. Teil. Im Auftr. des Ver. für Socialpol. hrsg. von Carl J. Fuchs. (Schriften des Vereins für Socialpolitik 129-IX).</t>
  </si>
  <si>
    <t>Die Gemeindebetriebe in den Städten, Kreisen und Landgemeinden des Oberschlesischen Industriebezirks. : Gemeindebetriebe – Neuere Versuche und Erfahrungen über die Ausdehnung der kommunalen Tätigkeit in Deutschland und im Ausland. II. Band, 10. Teil. Im Auftr. des Ver. für Socialpol. hrsg. von Carl J. Fuchs. (Schriften des Vereins für Socialpolitik 129-X)</t>
  </si>
  <si>
    <t>Die Gemeindebetriebe in Österreich. : Gemeindebetriebe – Neuere Versuche und Erfahrungen über die Ausdehnung der kommunalen Tätigkeit in Deutschland und im Ausland. III. Band, 1. Teil. (Schriften des Vereins für Socialpolitik 130-I).</t>
  </si>
  <si>
    <t>Geschichte der modernen Gemeindebetriebe in Italien. : Gemeindebetriebe – Neuere Versuche und Erfahrungen über die Ausdehnung der kommunalen Tätigkeit in Deutschland und im Ausland. III. Band, 2. Teil. Im Auftr. des Ver. für Socialpol. hrsg. von Carl J. Fuchs. (Schriften des Vereins für Socialpolitik 130-II).</t>
  </si>
  <si>
    <t>Gemeindebetriebe in der Schweiz, in Belgien und in Australien. : Gemeindebetriebe – Neuere Versuche und Erfahrungen über die Ausdehnung der kommunalen Tätigkeit in Deutschland und im Ausland. Dritter Band, dritter Teil. (Schriften des Vereins für Socialpolitik 130-III).</t>
  </si>
  <si>
    <t>Gemeindebetriebe in Frankreich und England. : Gemeindebetriebe – Neuere Versuche und Erfahrungen über die Ausdehnung der kommunalen Tätigkeit in Deutschland und im Ausland. Dritter Band, vierter Teil. (Schriften des Vereins für Socialpolitik 130-IV).</t>
  </si>
  <si>
    <t>Die Gemeindebetriebe in Ungarn. : Gemeindebetriebe – Neuere Versuche und Erfahrungen über die Ausdehnung der kommunalen Tätigkeit in Deutschland und im Ausland. III. Band, 5. Teil. Im Auftr. des Ver. für Socialpol. hrsg. von Carl J. Fuchs. (Schriften des Vereins für Socialpolitik 130-V).</t>
  </si>
  <si>
    <t>Auswanderung und Auswanderungspolitik in Österreich. : Im Auftrag des Vereins für Socialpolitik herausgegeben. (Schriften des Vereins für Socialpolitik 131).</t>
  </si>
  <si>
    <t>Caro, Leopold</t>
  </si>
  <si>
    <t>Auslese und Anpassung der Arbeiterschaft der geschlossenen Großindustrie. Dargestellt an den Verhältnissen der "Gladbacher Spinnerei und Weberei" A.-G. zu München-Gladbach im Rheinland. : Untersuchungen über Auslese und Anpassung (Berufswahl und Berufsschicksal) der Arbeiter in den verschiedenen Zweigen der Großindustrie. Erster Band. (Schriften des Vereins für Socialpolitik 133).</t>
  </si>
  <si>
    <t>Bernays, Marie</t>
  </si>
  <si>
    <t>Auslese und Anpassung der Arbeiterschaft in der Elektroindustrie, Buchdruckerei, Feinmechanik und Maschinenindustrie. : Untersuchungen über Auslese und Anpassung (Berufswahl und Berufsschicksal) der Arbeiter in den verschiedenen Zweigen der Großindustrie. Zweiter Band. (Schriften des Vereins für Sozialpolitik 134).</t>
  </si>
  <si>
    <t>Auslese und Anpassung der Arbeiterschaft in der Automobilindustrie und einer Wiener Maschinenfabrik. : Untersuchungen über Auslese und Anpassung (Berufswahl und Berufsschicksal) der Arbeiter in den verschiedenen Zweigen der Großindustrie. Dritter Band, erster Teil. (Schriften des Vereins für Sozialpolitik 135-I).</t>
  </si>
  <si>
    <t>Das Leben der jungen Fabrikmädchen in München. Die soziale und wirtschaftliche Lage ihrer Familie, ihr Berufsleben und ihre persönlichen Verhältnisse. Nach statistischen Erhebungen dargestellt an der Lage von 270 Fabrikarbeiterinnen : im Alter von 14 bis 18 Jahren. Untersuchungen über Auslese und Anpassung (Berufswahl und Berufsschicksal) der Arbeiter in den verschiedenen Zweigen der Großindustrie. Dritter Band, zweiter Teil. (Schriften des Vereins für Sozialpolitik 135-II).</t>
  </si>
  <si>
    <t>Kempf, Rosa</t>
  </si>
  <si>
    <t>Auslese und Anpassung der Arbeiterschaft in der Lederwaren-, Steinzeug- und Textilindustrie. : Untersuchungen über Auslese und Anpassung (Berufswahl und Berufsschicksal) der Arbeiter in den verschiedenen Zweigen der Großindustrie. Dritter Band, dritter Teil. (Schriften des Vereins für Socialpolitik 135-III).</t>
  </si>
  <si>
    <t>Auslese und Anpassung der Arbeiterschaft der geschlossenen Großindustrie. Dargestellt an den Verhältnissen einer Luckenwalder Wollhutfabrik. : Untersuchungen über Auslese und Anpassung (Berufswahl und Berufsschicksal) der Arbeiter in den verschiedenen Zweigen der Großindustrie. Dritter Band, vierter Teil. (Schriften des Vereins für Sozialpolitik 135-IV).</t>
  </si>
  <si>
    <t>Herrmann, Elise</t>
  </si>
  <si>
    <t>Untersuchungen über das Volkssparwesen. : Erster Band. Hrsg. vom Verein für Sozialpolitik. (Schriften des Vereins für Sozialpolitik 136).</t>
  </si>
  <si>
    <t>Untersuchungen über das Volkssparwesen. : Zweiter Band. Hrsg. vom Verein für Sozialpolitik. (Schriften des Vereins für Sozialpolitik 137-I).</t>
  </si>
  <si>
    <t>Untersuchungen über das Volkssparwesen. : Dritter Band. Hrsg. vom Verein für Sozialpolitik. (Schriften des Vereins für Sozialpolitik 137-II).</t>
  </si>
  <si>
    <t>Untersuchungen über das Volkssparwesen. : Vierter Band. Hrsg. vom Verein für Sozialpolitik. (Schriften des Vereins für Sozialpolitik 137-III).</t>
  </si>
  <si>
    <t>Untersuchungen über das Versicherungswesen in Deutschland. : Hrsg. vom Verein für Sozialpolitik. (Schriften des Vereins für Sozialpolitik 137-IV).</t>
  </si>
  <si>
    <t>Verhandlungen des Vereins für Sozialpolitik in Nürnberg 1911. I. Fragen der Gemeindebesteuerung – II. Probleme der Arbeiterpsychologie. : (Verhandlungen der Generalversammlung in Nürnberg, 9. und 10. Oktober 1911. Auf Grund der stenograph. Niederschrift hrsg. vom Ständigen Ausschuß.) (Schriften des Vereins für Sozialpolitik 138).</t>
  </si>
  <si>
    <t>Die Verteuerung der Lebensmittel in Berlin im Laufe der letzten 30 Jahre und ihre Bedeutung für den Berliner Arbeiterhaushalt. : Untersuchungen über Preisbildung. Abteilung A: Preisbildung für agrarische Erzeugnisse. Zweiter Teil. Hrsg. von Max Sering. (Schriften des Vereins für Sozialpolitik 139-II).</t>
  </si>
  <si>
    <t>Die Bewegung der Weizenpreise und ihre Ursachen. : Untersuchungen über Preisbildung. Abteilung A: Preisbildung für agrarische Erzeugnisse. Dritter Teil. Hrsg. von Max Sering. (Schriften des Vereins für Sozialpolitik 139-III).</t>
  </si>
  <si>
    <t>Die Fleischversorgung der Stadt München. : Untersuchungen über Preisbildung. Abteilung A: Preisbildung für agrarische Erzeugnisse. Gebiete der intensiven Landwirtschaft. Fünfter Teil. Hrsg. von Max Sering. (Schriften des Vereins für Sozialpolitik 139-V).</t>
  </si>
  <si>
    <t>Die Milchversorgung der Stadt Karlsruhe unter besonderer Berücksichtigung der Produktions- und Preisverhältnisse. : Milchwirtschaftliche Erzeugnisse. Erster Teil. Hrsg. von Philipp Arnold - Max Sering. (Schriften des Vereins für Sozialpolitik 140-I).</t>
  </si>
  <si>
    <t>Arnold, Philipp</t>
  </si>
  <si>
    <t>Die Milchversorgung norddeutscher Städte und Industriegebiete. : Milchwirtschaftliche Erzeugnisse. Zweiter Teil. (Schriften des Vereins für Sozialpolitik 140-II).</t>
  </si>
  <si>
    <t>Produktion, Absatz, Preisbildung von Molkereierzeugnissen. : Untersuchungen über Preisbildung. Abteilung A: Preisbildung bei agrarischen Erzeugnissen. Milchwirtschaftliche Erzeugnisse. Dritter Teil. (Schriften des Vereins für Sozialpolitik 140-III).</t>
  </si>
  <si>
    <t>Die Milchversorgung in Württemberg. : Milchwirtschaftliche Erzeugnisse. Vierter Teil. Hrsg. von Philipp Arnold - Max Sering. (Schriften des Vereins für Sozialpolitik 140-IV).</t>
  </si>
  <si>
    <t>Die gemeinnützige Milchversorgung in Deutschland. : Untersuchungen über Preisbildung. Abteilung A: Preisbildung bei agrarischen Erzeugnissen. Milchwirtschaftliche Erzeugnisse. Fünfter Teil. (Schriften des Vereins für Sozialpolitik 140-V).</t>
  </si>
  <si>
    <t>Die landwirtschaftlichen Produktionsverhältnisse Argentiniens. : Untersuchungen über Preisbildung. Abteilung A: Preisbildung für agrarische Erzeugnisse. Die Exportgebiete der extensiven Landwirtschaft. Erster Teil. Hrsg. von Max Sering. (Schriften des Vereins für Sozialpolitik 141-I).</t>
  </si>
  <si>
    <t>Die Entwicklung der Landwirtschaft in den Vereinigten Staaten von Nordamerika und ihr Einfluß auf die Preisbildung landwirtschaftlicher Erzeugnisse. : Untersuchungen über Preisbildung. Abteilung A: Preisbildung für agrarische Erzeugnisse. Die Exportgebiete der extensiven Landwirtschaft. Zweiter Teil. Hrsg. von Max Sering. (Schriften des Vereins für Sozialpolitik 141-II).</t>
  </si>
  <si>
    <t>Untersuchungen über Preisbildung. : Abteilung B: Preisbildung für gewerbliche Erzeugnisse. Erster Teil. (Schriften des Vereins für Sozialpolitik 142-I).</t>
  </si>
  <si>
    <t>Untersuchungen über Preisbildung. : Abteilung B. Zweiter Teil: Die Preisgestaltung im Druckereigewerbe. (Schriften des Vereins für Sozialpolitik 142-II).</t>
  </si>
  <si>
    <t>Bertenburg, Carl</t>
  </si>
  <si>
    <t>Preisbildung für gewerbliche Erzeugnisse. : Untersuchungen über Preisbildung. Abteilung B. Dritter Teil. (Schriften des Vereins für Sozialpolitik 142-III).</t>
  </si>
  <si>
    <t>Eulenburg, Franz</t>
  </si>
  <si>
    <t>Die Preisentwicklung der Baumwolle und Baumwollfabrikate. : Untersuchungen über Preisbildung. Abteilung B: Preisbildung für gewerbliche Erzeugnisse. Vierter Teil. Hrsg. von Franz Eulenburg. (Schriften des Vereins für Sozialpolitik 142-IV).</t>
  </si>
  <si>
    <t>Die Preisentwicklung in der Steinkohlengasindustrie. : Untersuchungen über Preisbildung. Abteilung B: Preisbildung für gewerbliche Erzeugnisse. Fünfter Teil. Hrsg. von Franz Eulenburg. (Schriften des Vereins für Sozialpolitik 142-V).</t>
  </si>
  <si>
    <t>Preisbildung für gewerbliche Erzeugnisse. : Untersuchungen über Preisbildung. Abteilung B. Sechster Teil. (Schriften des Vereins für Sozialpolitik 143-I).</t>
  </si>
  <si>
    <t>Steinkohlenpreise und Dampfkraftkosten. : Untersuchungen über Preisbildung. Abteilung B: Preisbildung für gewerbliche Erzeugnisse. Zweiter Teil. Hrsg. von Franz Eulenburg. (Schriften des Vereins für Sozialpolitik 143-II).</t>
  </si>
  <si>
    <t>Die Preisbewegung elektrischer Arbeit seit 1898. : Untersuchungen über Preisbildung. Abteilung B: Preisbildung für gewerbliche Erzeugnisse. Dritter Teil. Hrsg. von Franz Eulenburg. (Schriften des Vereins für Sozialpolitik 143-III).</t>
  </si>
  <si>
    <t>Preisbildung gewerblicher Erzeugnisse in Belgien. : Untersuchungen über Preisbildung. Abteilung B: Untersuchungen über Preisbildung gewerblicher Erzeugnisse. Ausland. Erster Teil: Belgien. (Schriften des Vereins für Sozialpolitik 144-I).</t>
  </si>
  <si>
    <t>Mahaim, Ernest</t>
  </si>
  <si>
    <t>Kosten der Lebenshaltung in deutschen Großstädten. : I. Ost- und Norddeutschland. Untersuchungen über Preisbildung. Abteilung C: Kosten der Lebenshaltung. Erster Teil. (Schriften des Vereins für Sozialpolitik 145-I).</t>
  </si>
  <si>
    <t>Kosten der Lebenshaltung in deutschen Großstädten. : II. West- und Süddeutschland. Untersuchungen über Preisbildung. Abteilung C: Kosten der Lebenshaltung. Zweiter Teil. (Schriften des Vereins für Sozialpolitik 145-II).</t>
  </si>
  <si>
    <t>Löhne und Lebenskosten in Westeuropa im 19. Jahrhundert. : (Frankreich, England, Spanien, Belgien). Nebst einem Anhang: Lebenskosten deutscher und westeuropäischer Arbeiter früher und jetzt. (Schriften des Vereins für Sozialpolitik 145-III).</t>
  </si>
  <si>
    <t>Tyszka, Carl von</t>
  </si>
  <si>
    <t>Die Ansiedlung von Europäern in den Tropen. : Zweiter Teil: Mittelamerika, Kleine Antillen, Niederländisch West- und Ostindien. (Schriften des Vereins für Sozialpolitik 147-II).</t>
  </si>
  <si>
    <t>Kosten der Lebenshaltung in deutschen Großstädten. : I. Ost- und Norddeutschland. Zweite Hälfte. Untersuchungen über Preisbildung. Abteilung C: Kosten der Lebenshaltung. Vierter Teil. (Schriften des Vereins für Sozialpolitik 145-IV).</t>
  </si>
  <si>
    <t>Die Ansiedlung von Europäern in den Tropen. : Dritter Teil: Natal, Rhodesien, Britisch-Ostafrika. (Schriften des Vereins für Sozialpolitik 147-III).</t>
  </si>
  <si>
    <t>Britisch-Kassraria und seine deutschen Siedlungen. : Die Ansiedlung von Europäern in den Tropen. Vierter Teil. (Schriften des Vereins für Sozialpolitik 147-IV).</t>
  </si>
  <si>
    <t>Spanuth, Johannes</t>
  </si>
  <si>
    <t>Die deutschen Kolonisten im brasilianischen Staate Espirito Santo. : Die Ansiedlung von Europäern in den Tropen. Fünfter Teil. (Schriften des Vereins für Sozialpolitik 147-V).</t>
  </si>
  <si>
    <t>Wagemann, Ernst</t>
  </si>
  <si>
    <t>Preisbewegung landwirtschaftlicher Güter in einigen Teilen Bayerns während der Jahre 1900 bis 1910. : Erster Teil. Mit einer Einleitung von Lujo Brentano. (Schriften des Vereins für Sozialpolitik 148).</t>
  </si>
  <si>
    <t>Die Konsumvereinsbewegung in Großbritannien. : Untersuchungen über Konsumvereine. Hrsg. von Hugo Thiel - Robert Wilbrandt. Die Konsumvereinsbewegung in den einzelnen Ländern. Erster Teil. (Schriften des Vereins für Sozialpolitik 150-I).</t>
  </si>
  <si>
    <t>Thiel, Hugo</t>
  </si>
  <si>
    <t>Der Einfluß der Golderzeugung auf die Preisbildung 1890–1913. : Erster Teil: Die allgemeine Preisbewegung 1890–1913. Von Wilhelm Gehlhoff. (Schriften des Vereins für Sozialpolitik 149-I).</t>
  </si>
  <si>
    <t>Spiethoff, Arthur</t>
  </si>
  <si>
    <t>Die Konsumvereine in Rußland. : Mit einem Geleitwort von Robert Wilbrandt. Untersuchungen über Konsumvereine. Hrsg. von Carl Johannes Fuchs - Robert Wilbrandt. Die Konsumvereinsbewegung in den einzelnen Ländern. Zweiter Teil. (Schriften des Vereins für Sozialpolitik 150-II).</t>
  </si>
  <si>
    <t>Die Konsumvereine in Holland, Japan, Österreich und der Schweiz. : Untersuchungen über Konsumvereine. Hrsg. von Carl Johannes Fuchs - Robert Wilbrandt. Die Konsumvereinsbewegung in den einzelnen Ländern. Dritter Teil. (Schriften des Vereins für Sozialpolitik 150-III).</t>
  </si>
  <si>
    <t>Die Konsumvereinsbewegung in Deutschland. : Untersuchungen über Konsumvereine. Hrsg. von Carl Johannes Fuchs - Robert Wilbrandt. Die Konsumvereinsbewegung in den einzelnen Ländern. Vierter Teil. (Schriften des Vereins für Sozialpolitik 150-IV).</t>
  </si>
  <si>
    <t>Die Konsumgenossenschaftsbewegung in Frankreich und in den Vereinigten Staaten von Amerika. – Der Internationale Genossenschaftsbund. : Mit einem Schlußwort von Robert Wilbrandt. Untersuchungen über Konsumvereine. Hrsg. von Carl Johannes Fuchs - Robert Wilbrandt. Die Konsumvereinsbewegung in den einzelnen Ländern. Fünfter Teil. (Schriften des Vereins für Sozialpolitik 150-V).</t>
  </si>
  <si>
    <t>Eduard Pfeiffer und die deutsche Konsumgenossenschaftsbewegung. : Untersuchungen über Konsumvereine. Hrsg. von Hugo Thiel - Robert Wilbrandt. Monographien aus dem Konsumvereinswesen. Erster Teil. (Schriften des Vereins für Sozialpolitik 151-I).</t>
  </si>
  <si>
    <t>Einkaufsvereinigungen auf dem Lande. : Untersuchungen über Konsumvereine. Hrsg. von Hugo Thiel - Robert Wilbrandt. Monographien aus dem Konsumvereinswesen. Zweiter Teil. (Schriften des Vereins für Sozialpolitik 151-II).</t>
  </si>
  <si>
    <t>Der Stand der Gesetzgebung über Erwerbs- und Wirtschaftsgenossenschaften in den wichtigsten Kulturländern bei Kriegsausbruch 1914. : Untersuchungen über Konsumvereine. Hrsg. von Hugo Thiel - Robert Wilbrandt. Monographien aus dem Konsumvereinswesen. Dritter Teil. (Schriften des Vereins für Sozialpolitik 151-III).</t>
  </si>
  <si>
    <t>Die geistigen Arbeiter. : Erster Teil: Freies Schriftstellertum und Literaturverlag. (Schriften des Vereins für Sozialpolitik 152-I).</t>
  </si>
  <si>
    <t>Einzheimer, Ludwig</t>
  </si>
  <si>
    <t>Auslese und Anpassung der Arbeiterschaft in der Schuhindustrie und einem oberschlesischen Walzwerke. : Untersuchungen über Auslese und Anpassung (Berufswahl und Berufsschicksal) der Arbeiter in den verschiedenen Zweigen der Großindustrie. Neue Folge. (Schriften des Vereins für Sozialpolitik 153).</t>
  </si>
  <si>
    <t>Die geistigen Arbeiter. : Zweiter Teil: Journalisten und bildende Künstler. (Schriften des Vereins für Sozialpolitik 152-II).</t>
  </si>
  <si>
    <t>Francke, Ernst</t>
  </si>
  <si>
    <t>Das Depositengeschäft der Berliner Großbanken. : Kapitalbildung und Kapitalverwendung. Hrsg. von Hermann Schumacher. Erster Teil. (Schriften des Vereins für Sozialpolitik 154-I).</t>
  </si>
  <si>
    <t>Schumacher, Hermann</t>
  </si>
  <si>
    <t>Die Hypothekenbanken. : Kapitalbildung und Kapitalverwendung. Hrsg. von Hermann Schumacher. Zweiter Teil. (Schriften des Vereins für Sozialpolitik 154-II).</t>
  </si>
  <si>
    <t>Die wirtschaftliche Annäherung zwischen dem Deutschen Reiche und seinen Verbündeten. : Erster Teil. (Schriften des Vereins für Sozialpolitik 155-I).</t>
  </si>
  <si>
    <t>Herkner, Heinrich</t>
  </si>
  <si>
    <t>Die wirtschaftliche Annäherung zwischen dem Deutschen Reiche und seinen Verbündeten. : Dritter Teil: Aussprache in der Sitzung des Ausschusses vom 6. April 1916 zu Berlin. (Schriften des Vereins für Sozialpolitik 155-III).</t>
  </si>
  <si>
    <t>Die wirtschaftliche Annäherung zwischen dem Deutschen Reiche und seinen Verbündeten. : Zweiter Teil. (Schriften des Vereins für Sozialpolitik 155-II).</t>
  </si>
  <si>
    <t>Die Neuordnung der deutschen Finanzwirtschaft. : Zweiter Teil. (Schriften des Vereins für Sozialpolitik 156-II).</t>
  </si>
  <si>
    <t>Die Neuordnung der deutschen Finanzwirtschaft. : Dritter Teil: Aussprache in der Sitzung des Ausschusses vom 17. April 1918 zu Berlin. (Schriften des Vereins für Sozialpolitik 156-III).</t>
  </si>
  <si>
    <t>Englische und preußische Steuerveranlagung. : Ein Vergleich des englischen mit dem preußischen System der Einkommensbesteuerung (Quellenprinzip contra Empfängerprinzip). Neue Beiträge zur Neuordnung der dt. Finanzwirtschaft II. Hrsg. v. H. Herkner. (Schriften des Vereins für Sozialpolitik 157-II).</t>
  </si>
  <si>
    <t>Verhandlungen des Vereins für Sozialpolitik in Regensburg 1919 zu den Wirtschaftsbeziehungen zwischen dem Deutschen Reiche und Deutsch-Österreich und zur Sozialisierungsfrage. : (Verhandlungen der Generalversammlung in Regensburg, 15. und 16. September 1919). Auf Grund der stenograph. Niederschrift hrsg. vom Vorstande. (Schriften des Vereins für Sozialpolitik 159).</t>
  </si>
  <si>
    <t>Die Reform der staatswissenschaftlichen Studien. : Fünfzig Gutachten. (Schriften des Vereins für Sozialpolitik 160).</t>
  </si>
  <si>
    <t>Jastrow, Ignaz</t>
  </si>
  <si>
    <t>Verhandlungen des Vereins für Sozialpolitik in Kiel 1920. : Die Reform der staatswissenschaftlichen Studien, 2. Teil. (Verhandlungen der außerordentl. Generalversammlung in Kiel, 21. bis 23. September 1920). Auf Grund der stenograph. Niederschrift hrsg. vom Vorstande. (Schriften des Vereins für Sozialpolitik 161).</t>
  </si>
  <si>
    <t>Die geldtheoretische und geldrechtliche Seite des Stabilisierungsproblems. : Gutachten, hrsg. von Emil Lederer - Melchior Palyi, zweiter Teil. Deutsche Zahlungsbilanz und Stabilisierungsfrage, im Auftrage des Vereins veranstaltet von Karl Diehl - Felix Somary. (Schriften des Vereins für Sozialpolitik 164-II).</t>
  </si>
  <si>
    <t>Lederer, Emil</t>
  </si>
  <si>
    <t>Die Zukunft der Sozialpolitik – Die Not der geistigen Arbeiter. Jubiläumstagung des Vereins für Sozialpolitik in Eisenach 1922. : Mit Beiträgen zum 50jährigen Jubiläum des Vereins. (Verhandlungen der Generalversammlung in Eisenach, 20. und 21. September 1922). Auf Grund der stenograph. Niederschrift hrsg. vom Vorstand. (Schriften des Vereins für Sozialpolitik 163).</t>
  </si>
  <si>
    <t>Pläne und Versuche zur Währungssanierung. : Geschichte der Stabilisierungsversuche, hrsg. von Melchior Palyi, zweiter Teil. Deutsche Zahlungsbilanz und Stabilisierungsfrage, im Auftrage des Vereins veranstaltet von Karl Diehl - Felix Somary. (Schriften des Vereins für Sozialpolitik 165-II).</t>
  </si>
  <si>
    <t>Die Devalvierung des österreichischen Papiergeldes im Jahre 1811. Eine finanzgeschichtliche Darstellung nach archivalischen Quellen. : Geschichte der Stabilisierungsversuche, hrsg. von Melchior Palyi, erster Teil. Deutsche Zahlungsbilanz und Stabilisierungsfrage, im Auftrage des Vereins veranstaltet von Karl Diehl - Felix Somary. (Schriften des Vereins für Sozialpolitik 165-I).</t>
  </si>
  <si>
    <t>Das Papiergeld der französischen Revolution 1789–1797. : Aus dem Russ. von F. Schlömer. Geschichte der Stabilisierungsversuche, hrsg. von M. Palyi, dritter Teil. Dt. Zahlungsbilanz und Stabilisierungsfrage, im Auftr. des Ver. veranst. von K. Diehl - F. Somary. (Schriften des Vereins für Sozialpolitik 165-III).</t>
  </si>
  <si>
    <t>Währungsreform in der Tschechoslowakei und in Sowjet-Rußland. : Geschichte der Stabilisierungsversuche, hrsg. von Melchior Palyi, vierter Teil. Deutsche Zahlungsbilanz und Stabilisierungsfrage, im Auftrage des Vereins veranstaltet von Karl Diehl - Felix Somary. (Schriften des Vereins für Sozialpolitik 165-IV).</t>
  </si>
  <si>
    <t>Die Politik der Reichsbank und die Reichsschatzanweisungen nach dem Kriege. : Zweiter Teil, hrsg. von Franz Eulenburg. Deutsche Zahlungsbilanz und Stabilisierungsfrage, im Auftrage des Vereins veranstaltet von Karl Diehl - Felix Somary. (Schriften des Vereins für Sozialpolitik 166-II).</t>
  </si>
  <si>
    <t>Probleme der deutschen Zahlungsbilanz. : Erster Teil, hrsg. von Moritz Julius Bonn. Deutsche Zahlungsbilanz und Stabilisierungsfrage, im Auftrage des Vereins veranstaltet von Karl Diehl - Felix Somary. (Schriften des Vereins für Sozialpolitik 167-I).</t>
  </si>
  <si>
    <t>Bonn, Moritz Julius</t>
  </si>
  <si>
    <t>Zahlungsbilanz und Lebensfähigkeit Österreichs. : Zweiter Teil, hrsg. von Moritz Julius Bonn. Deutsche Zahlungsbilanz und Stabilisierungsfrage, im Auftrage des Vereins veranstaltet von Karl Diehl - Felix Somary. (Schriften des Vereins für Sozialpolitik 167-II).</t>
  </si>
  <si>
    <t>Steuerbelastung und Wiedergutmachung. Ein Beitrag zur Reparationsfrage. : Finanzwissenschaftliche Untersuchungen, hrsg. von Walther Lotz, erster Teil. Deutsche Zahlungsbilanz und Stabilisierungsfrage, im Auftrage des Vereins veranstaltet von Karl Diehl - Felix Somary. (Schriften des Vereins für Sozialpolitik 168-I).</t>
  </si>
  <si>
    <t>Besteuerung und Geldentwertung. : Finanzwissenschaftliche Untersuchungen, hrsg. von Walther Lotz, zweiter Teil. Deutsche Zahlungsbilanz und Stabilisierungsfrage, im Auftrage des Vereins veranstaltet von Karl Diehl - Felix Somary. (Schriften des Vereins für Sozialpolitik 168-II).</t>
  </si>
  <si>
    <t>Geldentwertung und Stabilisierung in ihren Einflüssen auf die soziale Entwicklung in Österreich. : (Schriften des Vereins für Sozialpolitik 169).</t>
  </si>
  <si>
    <t>Bunzel, Julius</t>
  </si>
  <si>
    <t>Theorie des Klassenkampfs – Handelspolitik – Währungsfrage. : Verhandlungen des Vereins für Sozialpolitik in Stuttgart, 24.–26. September 1924. Auf Grund der stenographischen Niederschrift hrsg. vom Vorstand. (Schriften des Vereins für Sozialpolitik 170).</t>
  </si>
  <si>
    <t>Neue Grundlagen der Handelspolitik. : Wissenschaftliche Gutachten. Erster Teil: Deutschland. (Schriften des Vereins für Sozialpolitik 171-I).</t>
  </si>
  <si>
    <t>Neue Grundlagen der Handelspolitik. : Wissenschaftliche Gutachten. Zweiter Teil: Ausland. (Schriften des Vereins für Sozialpolitik 171-II).</t>
  </si>
  <si>
    <t>Neue Grundlagen der Handelspolitik. : Wissenschaftliche Gutachten. Dritter Teil: Weltwirtschaft I. (Schriften des Vereins für Sozialpolitik 171-III.1).</t>
  </si>
  <si>
    <t>Neue Grundlagen der Handelspolitik. : Wissenschaftliche Gutachten. Dritter Teil: Weltwirtschaft II. (Schriften des Vereins für Sozialpolitik 171-III.2).</t>
  </si>
  <si>
    <t>Krisis der Weltwirtschaft – Übervölkerung Westeuropas – Steuerüberwälzung. : Verhandlungen des Vereins für Sozialpolitik in Wien, 23.–25. September 1926. Auf Grund der stenographischen Niederschrift herausgegeben. (Schriften des Vereins für Sozialpolitik 172).</t>
  </si>
  <si>
    <t>Beiträge zur Wirtschaftstheorie. : Wissenschaftliche Gutachten. Erster Teil: Volkseinkommen und Volksvermögen. Begriffskritische Untersuchungen. (Schriften des Vereins für Sozialpolitik 173-I).</t>
  </si>
  <si>
    <t>Beiträge zur Wirtschaftstheorie. : Wissenschaftliche Gutachten. Zweiter Teil: Konjunkturforschung und Konjunkturtheorie. (Schriften des Vereins für Sozialpolitik 173-II).</t>
  </si>
  <si>
    <t>Finanzwissenschaftliche Untersuchungen. : Wissenschaftliche Gutachten. Erster Teil. (Schriften des Vereins für Sozialpolitik 174-I).</t>
  </si>
  <si>
    <t>Finanzsteuern, Zwecksteuern und Zweckzuwendungen von Steuererträgen. : Eine finanztheoretische und finanzpolitische Studie. Finanzwissenschaftliche Untersuchungen, zweiter Teil. Hrsg. von Walther Lotz. (Schriften des Vereins für Sozialpolitik 174-II).</t>
  </si>
  <si>
    <t>Die Auslandskredite in ihrer finanziellen, wirtschaftlichen und sozialen Bedeutung. : Finanzwissenschaftliche Untersuchungen, dritter Teil. Wissenschaftliche Gutachten. (Schriften des Vereins für Sozialpolitik 174-III).</t>
  </si>
  <si>
    <t>Kapitalbildung und Besteuerung. : Finanzwissenschaftliche Untersuchungen, vierter Teil. Wissenschaftliche Gutachten. (Schriften des Vereins für Sozialpolitik 174-IV).</t>
  </si>
  <si>
    <t>Moderne Organisationsformen der öffentlichen Unternehmung. : Erster Teil: Die Aufgaben der öffentlichen Unternehmungen und ihrer Organisationsformen. Mit 8 Beiträgen. (Schriften des Vereins für Sozialpolitik, Band 176-I).</t>
  </si>
  <si>
    <t>Moderne Organisationsformen der öffentlichen Unternehmung. : Dritter Teil: Ausland. Mit sechs Beiträgen. (Schriften des Vereins für Sozialpolitik, Band 176-III).</t>
  </si>
  <si>
    <t>Moderne Organisationsformen der öffentlichen Unternehmung. : Vierter Teil: Reinerträge und Zuschußbedarf der öffentlichen Unternehmungstätigkeit. Von Bruno Moll. (Schriften des Vereins für Sozialpolitik, Band 176-IV).</t>
  </si>
  <si>
    <t>Beiträge zur städtischen Wohn- und Siedelwirtschaft. : Erster Teil: Deutschland: Kritische Gesamtübersichten und allgemeine Probleme. (Schriften des Vereins für Sozialpolitik, Band 177-I).</t>
  </si>
  <si>
    <t>Zimmermann, Waldemar</t>
  </si>
  <si>
    <t>Beiträge zur städtischen Wohn- und Siedelwirtschaft. : Zweiter Teil: Deutschland: Die besonderen Probleme. (Schriften des Vereins für Sozialpolitik, Band 177-II).</t>
  </si>
  <si>
    <t>Beiträge zur städtischen Wohn- und Siedelwirtschaft. : Dritter Teil: Wohnungsfragen in Österreich. (Schriften des Vereins für Sozialpolitik, Band 177-III).</t>
  </si>
  <si>
    <t>Die Vererbung des ländlichen Grundbesitzes in der Nachkriegszeit. : Erster Teil: Deutsches Reich. (Schriften des Vereins für Sozialpolitik, Band 178-I).</t>
  </si>
  <si>
    <t>Die Vererbung des ländlichen Grundbesitzes in der Nachkriegszeit. : Dritter Teil: Die Anerbengesetze in den deutschen und außerdeutschen Ländern. Bearb. von Gustav Wagemann. (Schriften des Vereins für Sozialpolitik, Band 178-III).</t>
  </si>
  <si>
    <t>Wagemann, Gustav</t>
  </si>
  <si>
    <t>Die Vererbung des ländlichen Grundbesitzes in der Nachkriegszeit. : Zweiter Teil: Nachbarländer. (Schriften des Vereins für Sozialpolitik, Band 178-II).</t>
  </si>
  <si>
    <t>Einigungs- und Schiedsgrundsatz. : Begriffliches, Kritisches und Positives zum Schlichtungsproblem. Untersuchungen über das Schlichtungswesen, erster Teil. Hrsg. von Moritz Julius Bonn in Verbindung mit Carl Landauer - Friedrich Lemmer. (Schriften des Vereins für Sozialpolitik 179-I).</t>
  </si>
  <si>
    <t>Das Schlichtungswesen des Auslandes. : Untersuchungen über das Schlichtungswesen, zweiter Teil. (Schriften des Vereins für Sozialpolitik 179-II).</t>
  </si>
  <si>
    <t>Das Kartellproblem. : Beiträge zur Theorie und Praxis. Erster Teil. (Schriften des Vereins für Sozialpolitik 180-I).</t>
  </si>
  <si>
    <t>Das Kartellproblem im Lichte der deutschen Kartelliteratur. : Das Kartellproblem. Beiträge zur Theorie und Praxis. Zweiter Teil. Hrsg. von Emil Lederer unter Mitwirkung von Goetz Briefs - Arthur Feiler - Georg Jahn - Ludwig Mises. (Schriften des Vereins für Sozialpolitik 180-II).</t>
  </si>
  <si>
    <t>Das Kartellproblem. : Beiträge zur Theorie und Praxis. Dritter Teil. (Schriften des Vereins für Sozialpolitik 180-III).</t>
  </si>
  <si>
    <t>Das Deutsche Institut für technische Arbeitsschulung (Dinta). : Probleme der sozialen Werkspolitik, erster Teil. Hrsg. von Goetz Briefs. (Schriften des Vereins für Sozialpolitik 181-I).</t>
  </si>
  <si>
    <t>Grundfragen der betrieblichen Sozialpolitik. : Probleme der sozialen Werkspolitik, dritter Teil. Hrsg. von Goetz Briefs. (Schriften des Vereins für Sozialpolitik 181-III).</t>
  </si>
  <si>
    <t>Grundlagen und Grenzen der Sozialpolitik – Deutsche Agrarnot – Städtische Wohn- und Siedelwirtschaft. : Verhandlungen des Vereins für Sozialpolitik in Königsberg, 24.–26. September 1930. Auf Grund der stenographischen Niederschrift herausgegeben. (Schriften des Vereins für Sozialpolitik 182).</t>
  </si>
  <si>
    <t>Die Beamtenbesoldung im modernen Staat. : Erster Teil. (Schriften des Vereins für Sozialpolitik 184-1).</t>
  </si>
  <si>
    <t>Gerloff, Wilhelm</t>
  </si>
  <si>
    <t>Die Beamtenbesoldung im modernen Staat. : Zweiter Teil. (Schriften des Vereins für Sozialpolitik 184-2).</t>
  </si>
  <si>
    <t>Die Arbeitslosigkeit der Gegenwart. : Vierter Teil: Die Arbeitslosigkeit in der Schweiz. Hrsg. von Manuel Saitzew. (Schriften des Vereins für Sozialpolitik, Band 185-IV).</t>
  </si>
  <si>
    <t>Die betriebliche Sozialpolitik im Ruhrkohlenbergbau. : Die betriebliche Sozialpolitik einzelner Industriezweige, erster Teil. Hrsg. von Goetz Briefs. (Schriften des Vereins für Sozialpolitik, Band 186-I).</t>
  </si>
  <si>
    <t>Das modernisierte Besteuerungsverfahren in Deutschland im Vergleich zu Österreich. : Die verfassungsgemäße Fortentwicklung von E-Government als Herausforderung und Chance für die deutsche Finanzverwaltung.</t>
  </si>
  <si>
    <t>Schmidt, Christoph</t>
  </si>
  <si>
    <t>Reichskanzler Theobald von Bethmann Hollweg 1909–1921. : Rekonstruktion seines verlorenen Nachlasses. Herausgegeben und bearbeitet von Winfried Baumgart. 2 Teilbände.</t>
  </si>
  <si>
    <t>Maritime Risk Management. : Essays on the History of Marine Insurance, General Average and Sea Loan.</t>
  </si>
  <si>
    <t>Hellwege, Phillip</t>
  </si>
  <si>
    <t>Kameralismus und Merkantilismus. : Studien zur Entwicklung der ökonomischen Theorie XXXIX.</t>
  </si>
  <si>
    <t>Caspari, Volker</t>
  </si>
  <si>
    <t>Zeit in Gesetzen erfasst – G. W. F. Hegels Theorie der Kodifikation.</t>
  </si>
  <si>
    <t>Müller, Michael W.</t>
  </si>
  <si>
    <t>Private Schadensgestaltung als Drittbelastung. : Fangprämien, Vertrags- und Verbandsstrafen: Regressfähige Schadensposten oder unzulässige Rechtsgeschäfte zu Lasten Dritter?</t>
  </si>
  <si>
    <t>Odijk, Paul van</t>
  </si>
  <si>
    <t>Korpuslinguistik im Recht. : Theoretische Überlegungen und Fallstudien.</t>
  </si>
  <si>
    <t>Tripps, Felix</t>
  </si>
  <si>
    <t>Normative Legitimität von Recht, Moral und Menschenrechten im Lichte der positivistischen Trennungsthese.</t>
  </si>
  <si>
    <t>Blöchlinger, Moritz</t>
  </si>
  <si>
    <t>Entwicklung der Konjunkturforschung im frühen 20. Jahrhundert. : Studien zur Entwicklung der ökonomischen Theorie XL.</t>
  </si>
  <si>
    <t>Spahn, Peter</t>
  </si>
  <si>
    <t>Deforming the Reform : The Impact of Elites on Romania's Post-Accession Europeanization</t>
  </si>
  <si>
    <t>Martin-Russu, Luana</t>
  </si>
  <si>
    <t>Schulsysteme Beschreiben und Gestalten : Bildungsmonitoring in der Schweiz</t>
  </si>
  <si>
    <t>Imlig, Flavian</t>
  </si>
  <si>
    <t>Evaluation der Besonderen Versorgung Nach § 140a SGB V : Studie Zu Ambulanten Operationen in Plastischer Chirurgie und Handchirurgie</t>
  </si>
  <si>
    <t>Kisch, Tobias</t>
  </si>
  <si>
    <t>Monte Carlo N-Particle Simulations for Nuclear Detection and Safeguards : An Examples-Based Guide for Students and Practitioners</t>
  </si>
  <si>
    <t>Hendricks, John S.</t>
  </si>
  <si>
    <t>Ermittlung der Teilhabeförderung und des Finanzierungsbedarfs Bei Chronisch Mehrfachgeschädigt/Mehrfachbeeinträchtigt Abhängigkeitskranken : Modellierung und Evaluation Eines Instrumentes (IBUT-CMA)</t>
  </si>
  <si>
    <t>Muth, Lydia</t>
  </si>
  <si>
    <t>The Search for Ultralight Bosonic Dark Matter</t>
  </si>
  <si>
    <t>Jackson Kimball, Derek F.</t>
  </si>
  <si>
    <t>Alterung und Pflege Als Kommunale Aufgabe : Deutsche und Japanische Ansätze und Erfahrungen</t>
  </si>
  <si>
    <t>Waldenberger, Franz</t>
  </si>
  <si>
    <t>Muslim*innen- und Islamfeindlichkeit : Zur Differenzierten Betrachtung Von Vorurteilen Gegenüber Menschen und Religion</t>
  </si>
  <si>
    <t>Diekmann, Isabell</t>
  </si>
  <si>
    <t>Theory and Practice of Sociosensitive and Socioactive Systems</t>
  </si>
  <si>
    <t>Bellon, Jacqueline</t>
  </si>
  <si>
    <t>The Asymmetric Nature of Time : Accounting for the Open Future and the Fixed Past</t>
  </si>
  <si>
    <t>Grandjean, Vincent</t>
  </si>
  <si>
    <t>Bioimage Data Analysis Workflows ‒ Advanced Components and Methods</t>
  </si>
  <si>
    <t>Miura, Kota</t>
  </si>
  <si>
    <t>Italian National Forest Inventory--Methods and Results of the Third Survey : Inventario Nazionale Delle Foreste e Dei Serbatoi Forestali Di Carbonio--Metodi e Risultati Della Terza Indagine</t>
  </si>
  <si>
    <t>Gasparini, Patrizia</t>
  </si>
  <si>
    <t>The Living Environmental Education : Sound Science Toward a Cleaner, Safer, and Healthier Future</t>
  </si>
  <si>
    <t>Fang, Wei-Ta</t>
  </si>
  <si>
    <t>Self As Method : Thinking Through China and the World</t>
  </si>
  <si>
    <t>Experimental Studies in Learning Technology and Child-Computer Interaction</t>
  </si>
  <si>
    <t>Islamistische Gewalttaten in Westeuropa : Entwicklung und Empirische Überprüfung Eines Erklärungsmodells der Radikalisierung und Tatbegehung</t>
  </si>
  <si>
    <t>Lohmann, Marco-Thejesh</t>
  </si>
  <si>
    <t>Managing Future Challenges for Safety : Demographic Change, Digitalisation and Complexity in The 2030s</t>
  </si>
  <si>
    <t>Small Angle Scattering As a Tool to Study Protein Structure and Interactions</t>
  </si>
  <si>
    <t>Pietras, Zuzanna</t>
  </si>
  <si>
    <t>Challenging Mobilities in and to the EU During Times of Crises : The Case of Greece</t>
  </si>
  <si>
    <t>Kousis, Maria</t>
  </si>
  <si>
    <t>Brazil--Japan Cooperation: from Complementarity to Shared Value</t>
  </si>
  <si>
    <t>Hamaguchi, Nobuaki</t>
  </si>
  <si>
    <t>Multivariate Statistical Analysis in the Real and Complex Domains</t>
  </si>
  <si>
    <t>Exploring Animal Behavior Through Sound: Volume 1 : Methods</t>
  </si>
  <si>
    <t>Erbe, Christine</t>
  </si>
  <si>
    <t>Social Science Research in the Arab World and Beyond : A Guide for Students, Instructors and Researchers</t>
  </si>
  <si>
    <t>Tessler, Mark</t>
  </si>
  <si>
    <t>Cloud Computing Technology</t>
  </si>
  <si>
    <t>Huawei Technologies Co., Ltd., Ltd.</t>
  </si>
  <si>
    <t>Colección Psicología y Ley</t>
  </si>
  <si>
    <t>Arce, Ramón</t>
  </si>
  <si>
    <t>Transformation Thermotics and Extended Theories : Inside and Outside Metamaterials</t>
  </si>
  <si>
    <t>Xu, Liu-Jun</t>
  </si>
  <si>
    <t>Doing Indefinite Time : An Ethnography of Long-Term Imprisonment in Switzerland</t>
  </si>
  <si>
    <t>Marti, Irene</t>
  </si>
  <si>
    <t>Kaiser Karl V. und das Heilige Römische Reich</t>
  </si>
  <si>
    <t>Hirzel Verlag</t>
  </si>
  <si>
    <t>Czeguhn, Ignacio</t>
  </si>
  <si>
    <t>Anal Incontinence : Clinical Management and Surgical Techniques</t>
  </si>
  <si>
    <t>Docimo, Ludovico</t>
  </si>
  <si>
    <t>The Institutions of Programmatic Action : Policy Programs in French and German Health Policy</t>
  </si>
  <si>
    <t>Hornung, Johanna</t>
  </si>
  <si>
    <t>Hepatocellular Carcinoma</t>
  </si>
  <si>
    <t>Ettorre, Giuseppe Maria</t>
  </si>
  <si>
    <t>50 Years World Heritage Convention: Shared Responsibility - Conflict and Reconciliation</t>
  </si>
  <si>
    <t>Albert, Marie-Theres</t>
  </si>
  <si>
    <t>Annual Report on the Big Data of New Energy Vehicle in China (2021)</t>
  </si>
  <si>
    <t>Wang, Zhenpo</t>
  </si>
  <si>
    <t>New Materialist Explorations into Language Education</t>
  </si>
  <si>
    <t>Ennser-Kananen, Johanna</t>
  </si>
  <si>
    <t>Mathematisches Problemlösen in der Studieneingangsphase : Untersuchung Von Bearbeitungsprozessen Typischer Übungsaufgaben und Zyklische Entwicklung Einer Fördermaßnahme Im Rahmen Vorlesungsbegleitender Übungen</t>
  </si>
  <si>
    <t>Stenzel, Thomas</t>
  </si>
  <si>
    <t>Multiplikator, Gleichgewicht, optimale Wachstumsrate und Standortverteilung.</t>
  </si>
  <si>
    <t>Autonome und heteronome Verteilung. : Rechtsordnung staatlicher Lenkung von Produktion und Verteilung.</t>
  </si>
  <si>
    <t>Heinze, Christian</t>
  </si>
  <si>
    <t>Studien zum Marktsozialismus.</t>
  </si>
  <si>
    <t>Wettbewerbsprobleme der Versicherungswirtschaft.</t>
  </si>
  <si>
    <t>Wettbewerbsprobleme der Mineralölwirtschaft im Schatten des OPEC-Kartells.</t>
  </si>
  <si>
    <t>Wettbewerbsprobleme auf dem Markt für Arzneimittel und staatliche Gesundheitspolitik.</t>
  </si>
  <si>
    <t>Selbstverwaltung als ordnungspolitisches Problem des Sozialstaates I.</t>
  </si>
  <si>
    <t>Das Arbeitskräfteangebot zwischen Markt und Plan.</t>
  </si>
  <si>
    <t>Beiträge zur Innovationspolitik.</t>
  </si>
  <si>
    <t>De la Mettrie's Ghost : The Story of Decisions</t>
  </si>
  <si>
    <t>Nunn, C.</t>
  </si>
  <si>
    <t>What People Leave Behind : Marks, Traces, Footprints and Their Relevance to Knowledge Society</t>
  </si>
  <si>
    <t>Comunello, Francesca</t>
  </si>
  <si>
    <t>Organisiertes Misstrauen und Ausdifferenzierte Kontrolle : Zur Soziologie der Polizei</t>
  </si>
  <si>
    <t>Weißmann, Martin</t>
  </si>
  <si>
    <t>Flexible Automation and Intelligent Manufacturing: the Human-Data-Technology Nexus : Proceedings of FAIM 2022, June 19-23, 2022, Detroit, Michigan, USA</t>
  </si>
  <si>
    <t>Kim, Kyoung-Yun</t>
  </si>
  <si>
    <t>Die Prämedikationsambulanz : Analyse der Prozessqualität, Patientenzufriedenheit und Präoperativen Angst</t>
  </si>
  <si>
    <t>Lorenz, Sandro</t>
  </si>
  <si>
    <t>Diversity in Computer Science : Design Artefacts for Equity and Inclusion</t>
  </si>
  <si>
    <t>Bjø, Pernille</t>
  </si>
  <si>
    <t>Sonic Interactions in Virtual Environments</t>
  </si>
  <si>
    <t>Geronazzo, Michele</t>
  </si>
  <si>
    <t>Putting Responsible Research and Innovation into Practice : A Multi-Stakeholder Approach</t>
  </si>
  <si>
    <t>Blok, Vincent</t>
  </si>
  <si>
    <t>Robots in Care and Everyday Life : Future, Ethics, Social Acceptance</t>
  </si>
  <si>
    <t>Engel, Uwe</t>
  </si>
  <si>
    <t>Practical Clinical Andrology</t>
  </si>
  <si>
    <t>Bettocchi, Carlo</t>
  </si>
  <si>
    <t>Nordic Media Histories of Propaganda and Persuasion</t>
  </si>
  <si>
    <t>Norén, Fredrik</t>
  </si>
  <si>
    <t>Explanatory Models, Unit Standards, and Personalized Learning in Educational Measurement : Selected Papers by A. Jackson Stenner</t>
  </si>
  <si>
    <t>Fisher Jr., William P.</t>
  </si>
  <si>
    <t>Social Media for Civic Education : Engaging Youth for Democracy</t>
  </si>
  <si>
    <t>Chapman, Amy L.</t>
  </si>
  <si>
    <t>Onward Migration and Multi-Sited Transnationalism : Complex Trajectories, Practices and Ties</t>
  </si>
  <si>
    <t>Ahrens, Jill</t>
  </si>
  <si>
    <t>Biodiversity of the Gulf of Guinea Oceanic Islands : Science and Conservation</t>
  </si>
  <si>
    <t>Ceríaco, Luis M. P.</t>
  </si>
  <si>
    <t>Proceedings of the International Conference on Artificial Intelligence Techniques for Electrical Engineering Systems (AITEES 2022)</t>
  </si>
  <si>
    <t>Atlantis Press (Zeger Karssen)</t>
  </si>
  <si>
    <t>Balas, Valentina E.</t>
  </si>
  <si>
    <t>Public Policy and Research in Africa</t>
  </si>
  <si>
    <t>Aiyede, E. Remi</t>
  </si>
  <si>
    <t>Family Dynamics over the Life Course : Foundations, Turning Points and Outcomes</t>
  </si>
  <si>
    <t>Baxter, Janeen</t>
  </si>
  <si>
    <t>Construction, Operation and Maintenance of Network System(Junior Level)</t>
  </si>
  <si>
    <t>Database Principles and Technologies - Based on Huawei GaussDB</t>
  </si>
  <si>
    <t>Artificial Intelligence Technology</t>
  </si>
  <si>
    <t>Data Communications and Network Technologies</t>
  </si>
  <si>
    <t>21st Century Media and Female Mental Health : Profitable Vulnerability and Sad Girl Culture</t>
  </si>
  <si>
    <t>Thelandersson, Fredrika</t>
  </si>
  <si>
    <t>Handbuch Außenpolitik Österreichs</t>
  </si>
  <si>
    <t>Senn, Martin</t>
  </si>
  <si>
    <t>Beyond 100: the Next Century in Geodesy : Proceedings of the IAG General Assembly, Montreal, Canada, July 8-18 2019</t>
  </si>
  <si>
    <t>Freymueller, Jeffrey T.</t>
  </si>
  <si>
    <t>Towards Responsible Plant Data Linkage: Data Challenges for Agricultural Research and Development</t>
  </si>
  <si>
    <t>Williamson, Hugh F.</t>
  </si>
  <si>
    <t>Figure : Concept and Method</t>
  </si>
  <si>
    <t>Lury, Celia</t>
  </si>
  <si>
    <t>Educational Data Analytics for Teachers and School Leaders</t>
  </si>
  <si>
    <t>Mougiakou, Sofia</t>
  </si>
  <si>
    <t>How Can We Use Simulation to Improve Competencies in Nursing?</t>
  </si>
  <si>
    <t>Akselbo, Iben</t>
  </si>
  <si>
    <t>Artificiality and Sustainability in Entrepreneurship : Exploring the Unforeseen, and Paving the Way to a Sustainable Future</t>
  </si>
  <si>
    <t>Adams, Richard</t>
  </si>
  <si>
    <t>Data for Social Good : Non-Profit Sector Data Projects</t>
  </si>
  <si>
    <t>Farmer, Jane</t>
  </si>
  <si>
    <t>Innovation in Bayern : Die Rezeption und Adaption Technischer Innovationen in der Bayerischen Armee (1835-1866)</t>
  </si>
  <si>
    <t>Kränzlein, Dirk</t>
  </si>
  <si>
    <t>Design of Heuristic Algorithms for Hard Optimization : With Python Codes for the Travelling Salesman Problem</t>
  </si>
  <si>
    <t>Taillard, Éric D.</t>
  </si>
  <si>
    <t>Advanced Digital Auditing : Theory and Practice of Auditing Complex Information Systems and Technologies</t>
  </si>
  <si>
    <t>Berghout, Egon</t>
  </si>
  <si>
    <t>Hipsterism : A Paradigm for Modernity</t>
  </si>
  <si>
    <t>Semple, Tara</t>
  </si>
  <si>
    <t>Business Ethics and Critical Consultant Jokes : New Research Methods to Study Ethical Transgressions</t>
  </si>
  <si>
    <t>Bouwmeester, Onno</t>
  </si>
  <si>
    <t>Datenwirtschaft und Datentechnologie : Wie Aus Daten Wert Entsteht</t>
  </si>
  <si>
    <t>Rohde, Marieke</t>
  </si>
  <si>
    <t>Bayes Factors for Forensic Decision Analyses with R</t>
  </si>
  <si>
    <t>Bozza, Silvia</t>
  </si>
  <si>
    <t>Ethics of Artificial Intelligence : Case Studies and Options for Addressing Ethical Challenges</t>
  </si>
  <si>
    <t>Rassismus in der Polizei : Eine Wissenschaftliche Bestandsaufnahme</t>
  </si>
  <si>
    <t>Hunold, Daniela</t>
  </si>
  <si>
    <t>European Language Grid : A Language Technology Platform for Multilingual Europe</t>
  </si>
  <si>
    <t>Quest for Good Money : Past, Present and Future</t>
  </si>
  <si>
    <t>Kitamura, Yukinobu</t>
  </si>
  <si>
    <t>Wertschöpfung Hybrid Gestalten : Geschäftsmodellentwicklung und Arbeitsgestaltung in der Digitalisierung</t>
  </si>
  <si>
    <t>ifaa - Institut für angewandte</t>
  </si>
  <si>
    <t>Transforming Urban Food Systems in Secondary Cities in Africa</t>
  </si>
  <si>
    <t>Riley, Liam</t>
  </si>
  <si>
    <t>Electricity Access, Decarbonization, and Integration of Renewables : Insights and Lessons from the Energy Transformation in Bangladesh, South Asia, and Sub-Sahara Africa</t>
  </si>
  <si>
    <t>Groh, Sebastian</t>
  </si>
  <si>
    <t>Ethics, Integrity and Policymaking : The Value of the Case Study</t>
  </si>
  <si>
    <t>O'Mathúna, Dónal</t>
  </si>
  <si>
    <t>Geflüchtete in ländlichen Regionen Deutschlands</t>
  </si>
  <si>
    <t>Mehl, Peter</t>
  </si>
  <si>
    <t>Länderbericht Zum Deutschen Freiwilligensurvey 2019</t>
  </si>
  <si>
    <t>Holtmann, Everhard</t>
  </si>
  <si>
    <t>Engineering Haptic Devices</t>
  </si>
  <si>
    <t>Kern, Thorsten A.</t>
  </si>
  <si>
    <t>The Power of Morality in Movements : Civic Engagement in Climate Justice, Human Rights, and Democracy</t>
  </si>
  <si>
    <t>Sevelsted, Anders</t>
  </si>
  <si>
    <t>Digital and Strategic Innovation for Alpine Health Tourism : Natural Resources, Digital Tools and Innovation Practices from HEALPS 2 Project</t>
  </si>
  <si>
    <t>Spoladore, Daniele</t>
  </si>
  <si>
    <t>Proceedings of the 2022 3rd International Conference on e-Commerce and Internet Technology (ECIT 2022)</t>
  </si>
  <si>
    <t>Zeng, Ziqiang</t>
  </si>
  <si>
    <t>Proceedings of the Tegal International Conference on Applied Social Science and Humanities (TICASSH 2022)</t>
  </si>
  <si>
    <t>Priatna Sari, Yeni</t>
  </si>
  <si>
    <t>Older Workers and Labour Market Exclusion Processes : A Life Course Perspective</t>
  </si>
  <si>
    <t>Burnay, Nathalie</t>
  </si>
  <si>
    <t>The Evolution of China's Anti-Poverty Strategies : Cases of 20 Chinese Changing Lives</t>
  </si>
  <si>
    <t>Proceedings of the 2nd International Conference on Artificial Intelligence and Cloud Computing (ICAICC 2022)</t>
  </si>
  <si>
    <t>Sun, Ranying</t>
  </si>
  <si>
    <t>Martial Culture and Historical Martial Arts in Europe and Asia : A Multi-Perspective View on Sword Culture</t>
  </si>
  <si>
    <t>Chao, Hing</t>
  </si>
  <si>
    <t>Europe in the Age of Post-Truth Politics : Populism, Disinformation and the Public Sphere</t>
  </si>
  <si>
    <t>Conrad, Maximilian</t>
  </si>
  <si>
    <t>Human Flourishing : A Multidisciplinary Perspective on Neuroscience, Health, Organizations and Arts</t>
  </si>
  <si>
    <t>Las Heras, Mireia</t>
  </si>
  <si>
    <t>Riva, Carlo G.</t>
  </si>
  <si>
    <t>Urban Living Lab for Local Regeneration : Beyond Participation in Large-Scale Social Housing Estates</t>
  </si>
  <si>
    <t>Aernouts, Nele</t>
  </si>
  <si>
    <t>Proceedings of the 2nd Padang International Conference on Educational Management and Administration 2021 (PICEMA 2021)</t>
  </si>
  <si>
    <t>Sulastri, Sulastri</t>
  </si>
  <si>
    <t>The Independent Variable Problem : Welfare Stateness As an Explanatory Concept</t>
  </si>
  <si>
    <t>Kunißen, Katharina</t>
  </si>
  <si>
    <t>Advancing the Science of Cancer in Latinos : Building Collaboration for Action</t>
  </si>
  <si>
    <t>Proceedings of the 2nd International Conference on Education: Current Issues and Digital Technologies (ICECIDT 2022)</t>
  </si>
  <si>
    <t>Volodin, Alexander</t>
  </si>
  <si>
    <t>Proceedings of the International Conference on Communication, Policy and Social Science (InCCluSi 2022)</t>
  </si>
  <si>
    <t>Saputra, Sahran</t>
  </si>
  <si>
    <t>Infektionen und Gesellschaft : Was Haben Wir Von COVID-19 Gelernt?</t>
  </si>
  <si>
    <t>Corporate Liability for Transboundary Environmental Harm : An International and Transnational Perspective</t>
  </si>
  <si>
    <t>Gailhofer, Peter</t>
  </si>
  <si>
    <t>Introduction to Nuclear Reactor Experiments</t>
  </si>
  <si>
    <t>Wakabayashi, Genichiro</t>
  </si>
  <si>
    <t>Effectuation Entwickeln : Ein Auf Reinforcement Learning Aufbauender Agentenbasierter Modellierungsbeitrag Zur Formalisierung Unternehmerischen Verhaltens</t>
  </si>
  <si>
    <t>Sterzel, Martin</t>
  </si>
  <si>
    <t>Quantitative Models in Life Science Business : From Value Creation to Business Processes</t>
  </si>
  <si>
    <t>Canci, Jung Kyu</t>
  </si>
  <si>
    <t>Arzneimittel-Kompass 2022 : Qualität der Arzneimittelversorgung</t>
  </si>
  <si>
    <t>Mastering Endo-Laparoscopic and Thoracoscopic Surgery : ELSA Manual</t>
  </si>
  <si>
    <t>Lomanto, Davide</t>
  </si>
  <si>
    <t>Handbook of Positive Psychology, Religion, and Spirituality</t>
  </si>
  <si>
    <t>Davis, Edward B.</t>
  </si>
  <si>
    <t>Multi-Winner Voting with Approval Preferences</t>
  </si>
  <si>
    <t>Lackner, Martin</t>
  </si>
  <si>
    <t>Immigrant and Asylum Seekers Labour Market Integration upon Arrival: NowHereLand : A Biographical Perspective</t>
  </si>
  <si>
    <t>Isaakyan, Irina</t>
  </si>
  <si>
    <t>LGBTQ+ Intimacies in Southern Europe : Citizenship, Care and Choice</t>
  </si>
  <si>
    <t>Santos, Ana Cristina</t>
  </si>
  <si>
    <t>Migration Diversity and Social Cohesion : Reassessing the Dutch Policy Agenda</t>
  </si>
  <si>
    <t>Jennissen, Roel</t>
  </si>
  <si>
    <t>Universal Singular : Public Space Design of the Early 21st Century</t>
  </si>
  <si>
    <t>Curnier, Sonia</t>
  </si>
  <si>
    <t>The Geology of Kuwait</t>
  </si>
  <si>
    <t>Abd el-aal, Abd el-aziz Khairy</t>
  </si>
  <si>
    <t>Design for Electromagnetic Compatibility--In a Nutshell : Theory and Practice</t>
  </si>
  <si>
    <t>Keller, Reto B.</t>
  </si>
  <si>
    <t>Statistical Foundations of Actuarial Learning and Its Applications</t>
  </si>
  <si>
    <t>Wüthrich, Mario V.</t>
  </si>
  <si>
    <t>English Medium Instruction As a Local Practice : Language, Culture and Pedagogy</t>
  </si>
  <si>
    <t>Han, Jinghe</t>
  </si>
  <si>
    <t>Internment Refugee Camps : Historical and Contemporary Perspectives</t>
  </si>
  <si>
    <t>Anderl, Gabriele</t>
  </si>
  <si>
    <t>Global Authoritarianism : Perspectives and Contestations from the South</t>
  </si>
  <si>
    <t>International Research Group on Authoritarianism and Counter-Strategies</t>
  </si>
  <si>
    <t>Drawing and Experiencing Architecture : The Evolving Significance of City's Inhabitants in the 20th Century</t>
  </si>
  <si>
    <t>Charitonidou, Marianna</t>
  </si>
  <si>
    <t>Trends und Determinanten Sozialer Probleme in Reichen Ländern : Eine Zeitreihenanalyse über Drei Dekaden</t>
  </si>
  <si>
    <t>Gercke, Marcus</t>
  </si>
  <si>
    <t>Remembering African Labor Migration to the Second World : Socialist Mobilities Between Angola, Mozambique, and East Germany</t>
  </si>
  <si>
    <t>Schenck, Marcia C.</t>
  </si>
  <si>
    <t>Sustainable Qatar : Social, Political and Environmental Perspectives</t>
  </si>
  <si>
    <t>Cochrane, Logan</t>
  </si>
  <si>
    <t>Urban and Regional Cooperation and Development : Challenges and Strategies for the Planning and Development of the Guangdong-Macao Intensive Cooperation Zone in Hengqin Island</t>
  </si>
  <si>
    <t>Zhou, Long</t>
  </si>
  <si>
    <t>Understanding Globalization, Global Gaps, and Power Shifts in the 21st Century : CCG Global Dialogues</t>
  </si>
  <si>
    <t>Niederlassungen Führen : Mit Subsidiary Governance Zum Erfolg</t>
  </si>
  <si>
    <t>Renz, Patrick</t>
  </si>
  <si>
    <t>Made-To-Measure Future(s) for Democracy? : Views from the Basque Atalaia</t>
  </si>
  <si>
    <t>Zabalo, Julen</t>
  </si>
  <si>
    <t>AI in Learning: Designing the Future</t>
  </si>
  <si>
    <t>Niemi, Hannele</t>
  </si>
  <si>
    <t>Holding down the Fort : Policing Communities and Community-Oriented Policing in Rural Germany</t>
  </si>
  <si>
    <t>Bielejewski, Aaron</t>
  </si>
  <si>
    <t>Open Mapping Towards Sustainable Development Goals : Voices of YouthMappers on Community Engaged Scholarship</t>
  </si>
  <si>
    <t>Solís, Patricia</t>
  </si>
  <si>
    <t>Brain and Human Body Modelling 2021 : Selected Papers Presented at 2021 BHBM Conference at Athinoula A. Martinos Center for Biomedical Imaging, Massachusetts General Hospital</t>
  </si>
  <si>
    <t>Makarov, Sergey</t>
  </si>
  <si>
    <t>Social and Affective Neuroscience of Everyday Human Interaction : From Theory to Methodology</t>
  </si>
  <si>
    <t>Boggio, Paulo Sérgio</t>
  </si>
  <si>
    <t>Exhibiting Creative Geographies : Bringing Research Findings to Life</t>
  </si>
  <si>
    <t>Boyd, Candice P.</t>
  </si>
  <si>
    <t>Methodology for Research with Early Childhood Education and Care Professionals : Example Studies and Theoretical Elaboration</t>
  </si>
  <si>
    <t>Wallerstedt, Cecilia</t>
  </si>
  <si>
    <t>El Hierro Island Global Geopark : Diversity of Volcanic Heritage for Geotourism</t>
  </si>
  <si>
    <t>Dóniz-Páez, Javier</t>
  </si>
  <si>
    <t>EU Cohesion Policy Implementation - Evaluation Challenges and Opportunities : The 1st International Conference on Evaluating Challenges in the Implementation of EU Cohesion Policy (EvEUCoP 2022), Coimbra 2022</t>
  </si>
  <si>
    <t>Henriques, Carla</t>
  </si>
  <si>
    <t>The Impact of Protracted Peace Processes on Identities in Conflict : The Case of Israel and Palestine</t>
  </si>
  <si>
    <t>Ricarte, Joana</t>
  </si>
  <si>
    <t>Freiheitseinschränkende Maßnahmen Bei Menschen Mit Demenz in Professionellen Sorgebeziehungen : Kritische Darstellung und Ethisch-Fachliche Reflexion</t>
  </si>
  <si>
    <t>Ritzi, Sebastian</t>
  </si>
  <si>
    <t>The Vision Zero Handbook : Theory, Technology and Management for a Zero Casualty Policy</t>
  </si>
  <si>
    <t>Edvardsson Björnberg, Karin</t>
  </si>
  <si>
    <t>Realising Linguistic, Cultural and Educational Rights Through Non-Territorial Autonomy</t>
  </si>
  <si>
    <t>Smith, David J.</t>
  </si>
  <si>
    <t>Person-Centered Outcome Metrology : Principles and Applications for High Stakes Decision Making</t>
  </si>
  <si>
    <t>Fisher, William P., Jr.</t>
  </si>
  <si>
    <t>Agricultural Development in Asia and Africa : Essays in Honor of Keijiro Otsuka</t>
  </si>
  <si>
    <t>Estudillo, Jonna P.</t>
  </si>
  <si>
    <t>Digital Healthcare and Expertise : Mental Health and New Knowledge Practices</t>
  </si>
  <si>
    <t>Egher, Claudia</t>
  </si>
  <si>
    <t>Doing Research: a New Researcher's Guide</t>
  </si>
  <si>
    <t>Hiebert, James</t>
  </si>
  <si>
    <t>Sustainable Development Disciplines for Society : Breaking down the 5Ps--People, Planet, Prosperity, Peace, and Partnerships</t>
  </si>
  <si>
    <t>Urata, Shujiro</t>
  </si>
  <si>
    <t>Biotechnologie Praxisorientiert Unterrichten : Aktuelle Kontexte Für Schule und Lehrerfortbildung</t>
  </si>
  <si>
    <t>Schöppner, Patricia</t>
  </si>
  <si>
    <t>Civic Continuities in an Age of Revolutionary Change, C. 1750-1850 : Europe and the Americas</t>
  </si>
  <si>
    <t>Pollmann, Judith</t>
  </si>
  <si>
    <t>Making Humanitarian Crises : Emotions and Images in History</t>
  </si>
  <si>
    <t>Edgar, Brenda Lynn</t>
  </si>
  <si>
    <t>Vector Semantics</t>
  </si>
  <si>
    <t>Kornai, András</t>
  </si>
  <si>
    <t>Failures in Cultural Participation</t>
  </si>
  <si>
    <t>Jancovich, Leila</t>
  </si>
  <si>
    <t>Technik-Ästhetik : Zur Theorie techno-ästhetischer Realität</t>
  </si>
  <si>
    <t>Ruf, Oliver</t>
  </si>
  <si>
    <t>Bewegung, Spiel und Sport im Kindesalter : Neue Entwicklungen und Herausforderungen in der Sportpädagogik</t>
  </si>
  <si>
    <t>Schwier, Jürgen</t>
  </si>
  <si>
    <t>Die Region - eine Begriffserkundung</t>
  </si>
  <si>
    <t>Ermann, Ulrich</t>
  </si>
  <si>
    <t>Buch-Aisthesis : Philologie und Gestaltungsdiskurs</t>
  </si>
  <si>
    <t>Busch, Christopher</t>
  </si>
  <si>
    <t>Harald Schmidt - Zur Ästhetik und Praxis des Populären</t>
  </si>
  <si>
    <t>Queere KI : Zum Coming-out smarter Maschinen</t>
  </si>
  <si>
    <t>Klipphahn-Karge, Michael</t>
  </si>
  <si>
    <t>Ernährungskulturen und Geschlecht : Fleisch, Veganismus und die Konstruktion von Männlichkeiten</t>
  </si>
  <si>
    <t>Winter, Martin</t>
  </si>
  <si>
    <t>Umkämpfte Zukunft : Zum Verhältnis von Nachhaltigkeit, Demokratie und Konflikt</t>
  </si>
  <si>
    <t>Zilles, Julia</t>
  </si>
  <si>
    <t>Die unsicheren Kanäle : Negative und queere Sicherheit in Kryptologie und Informatik</t>
  </si>
  <si>
    <t>Shnayien, Marie-Luise</t>
  </si>
  <si>
    <t>Kirchliche Jugendarbeit in der Ganztagsschule : Chancen und Herausforderungen der Zusammenarbeit</t>
  </si>
  <si>
    <t>Gärtner, Claudia</t>
  </si>
  <si>
    <t>Doing Diversity in Museums and Heritage : A Berlin Ethnography</t>
  </si>
  <si>
    <t>Macdonald, Sharon</t>
  </si>
  <si>
    <t>The Aftermaths of Participation : Outcomes and Consequences of Participatory Work with Forced Migrants in Museums</t>
  </si>
  <si>
    <t>Boersma, Susanne</t>
  </si>
  <si>
    <t>Kindesvertretung : Konkret, partizipativ, transdisziplinär</t>
  </si>
  <si>
    <t>Blum, Stefan</t>
  </si>
  <si>
    <t>Transformationen der Theaterlandschaft : Zur Fördersituation der Freien Darstellenden Künste in Deutschland. 2., erweiterte Ausgabe der Gesamtstudie</t>
  </si>
  <si>
    <t>Schneider, Wolfgang</t>
  </si>
  <si>
    <t>Integrität und kulturelles Erbe : Das Bedürfnis nach Unversehrtheit und Eindeutigkeit in den Denkmalwissenschaften</t>
  </si>
  <si>
    <t>Stackmann, Sophie</t>
  </si>
  <si>
    <t>Aktiver Passivismus : Eine Form des Lebens und Schreibens in Robert Musils Roman »Der Mann ohne Eigenschaften«</t>
  </si>
  <si>
    <t>Illner, Neele</t>
  </si>
  <si>
    <t>Literarästhetisches Lernen im Ausstellungsraum : Literaturausstellungen als außerschulische Lernorte für den Literaturunterricht</t>
  </si>
  <si>
    <t>Bernhardt, Sebastian</t>
  </si>
  <si>
    <t>Dirigierende Maschinen : Musik mit technikgestützter Tempovermittlung</t>
  </si>
  <si>
    <t>Kocher, Philippe</t>
  </si>
  <si>
    <t>Kleinstadtforschung : Interdisziplinäre Perspektiven</t>
  </si>
  <si>
    <t>Gribat, Nina</t>
  </si>
  <si>
    <t>Placeboeffekte als erlebte Erkenntnis : Eine philosophisch-medizinhistorische Untersuchung</t>
  </si>
  <si>
    <t>Heyll, Uwe</t>
  </si>
  <si>
    <t>Die Geschichte des türkisch-deutschen Theaters und Kabaretts : Vier Jahrzehnte Migrantenbühne in der Bundesrepublik (1961-2004)</t>
  </si>
  <si>
    <t>Boran, Erol M.</t>
  </si>
  <si>
    <t>Leben mit Wölfen : Affekte, Gefühle und Stimmungen in Mensch-Wolf-Beziehungen</t>
  </si>
  <si>
    <t>Gieser, Thorsten</t>
  </si>
  <si>
    <t>Widerstand im Arbeitsprozess : Eine arbeitssoziologische Einführung</t>
  </si>
  <si>
    <t>Heiland, Heiner</t>
  </si>
  <si>
    <t>Das kolonisierte Heiligtum : Diskriminierungskritische Perspektiven auf das Verfahren der Musealisierung</t>
  </si>
  <si>
    <t>Balzar, Christoph</t>
  </si>
  <si>
    <t>Auf dem Weg zu einer Neuen Aufklärung : Ein Plädoyer für zukunftsorientierte Geisteswissenschaften</t>
  </si>
  <si>
    <t>Integrität Im Managementalltag : Ethische Dilemmas Im Managementalltag Erfassen und Lösen</t>
  </si>
  <si>
    <t>Renz, Patrick S.</t>
  </si>
  <si>
    <t>Securitization and Democracy in Eurasia : Transformation and Development in the OSCE Region</t>
  </si>
  <si>
    <t>Sustainable Development Disciplines for Humanity : Breaking down the 5Ps--People, Planet, Prosperity, Peace, and Partnerships</t>
  </si>
  <si>
    <t>Lexicography of Coronavirus-Related Neologisms</t>
  </si>
  <si>
    <t>Klosa-Kückelhaus, Annette</t>
  </si>
  <si>
    <t>Modern Cryptography Volume 2 : A Classical Introduction to Informational and Mathematical Principle</t>
  </si>
  <si>
    <t>Reindeer Husbandry : Adaptation to the Changing Arctic, Volume 1</t>
  </si>
  <si>
    <t>Mathiesen, Svein Disch</t>
  </si>
  <si>
    <t>Cyber Security : 19th China Annual Conference, CNCERT 2022, Beijing, China, August 16-17, 2022, Revised Selected Papers</t>
  </si>
  <si>
    <t>Mediation Im Erbrecht</t>
  </si>
  <si>
    <t>Fries, Martin</t>
  </si>
  <si>
    <t>Data Protection Without Data Protectionism : The Right to Protection of Personal Data and Data Transfers in EU Law and International Trade Law</t>
  </si>
  <si>
    <t>Naef, Tobias</t>
  </si>
  <si>
    <t>Orte und Räume Im Roman : Ein Beitrag Zur Digitalen Literaturwissenschaft</t>
  </si>
  <si>
    <t>Schumacher, Mareike K.</t>
  </si>
  <si>
    <t>Proceedings of the 2nd International Conference on Languages and Arts Across Cultures (ICLAAC 2022)</t>
  </si>
  <si>
    <t>Utami, I. G. A. Lokita Purnamika</t>
  </si>
  <si>
    <t>Proceedings of the Conference BioSangam 2022: Emerging Trends in Biotechnology (BIOSANGAM 2022)</t>
  </si>
  <si>
    <t>Agarwal, Vishnu</t>
  </si>
  <si>
    <t>Digitisation and Low-Carbon Energy Transitions</t>
  </si>
  <si>
    <t>Sareen, Siddharth</t>
  </si>
  <si>
    <t>Die Zukunft des MINT-Lernens - Band 1 : Perspektiven Auf (digitalen) MINT-Unterricht und Lehrkräftebildung</t>
  </si>
  <si>
    <t>Roth, Jürgen</t>
  </si>
  <si>
    <t>Proceedings of the 4th International Conference Current Breakthrough in Pharmacy (ICB-Pharma 2022)</t>
  </si>
  <si>
    <t>Sri Wahyuni, Arifah</t>
  </si>
  <si>
    <t>Proceedings of the 2022 2nd International Conference on Financial Management and Economic Transition (FMET 2022)</t>
  </si>
  <si>
    <t>Stochastic Transport in Upper Ocean Dynamics : STUOD 2021 Workshop, London, UK, September 20-23</t>
  </si>
  <si>
    <t>Chapron, Bertrand</t>
  </si>
  <si>
    <t>Proceedings of the 1st UPY International Conference on Education and Social Science (UPINCESS 2022)</t>
  </si>
  <si>
    <t>Kusuma Wardana, Ari</t>
  </si>
  <si>
    <t>Optimal Surface Fitting of Point Clouds Using Local Refinement : Application to GIS Data</t>
  </si>
  <si>
    <t>Kermarrec, Gaël</t>
  </si>
  <si>
    <t>External Voting : The Patterns and Drivers of Central European Migrants' Homeland Electoral Participation</t>
  </si>
  <si>
    <t>Szulecki, Kacper</t>
  </si>
  <si>
    <t>Proceedings of the First International Conference on Medical Technology (ICoMTech 2021)</t>
  </si>
  <si>
    <t>Syamsuriansyah, Syamsuriansyah</t>
  </si>
  <si>
    <t>Cultural Diplomacy in Cold War Finland : Identity, Geopolitics and the Welfare State</t>
  </si>
  <si>
    <t>Clerc, Louis</t>
  </si>
  <si>
    <t>Proceedings of the 2022 3rd International Conference on Management Science and Engineering Management (ICMSEM 2022)</t>
  </si>
  <si>
    <t>Yang, Jun</t>
  </si>
  <si>
    <t>Transforming Entrepreneurship Education : Interdisciplinary Insights on Innovative Methods and Formats</t>
  </si>
  <si>
    <t>Halberstadt, Jantje</t>
  </si>
  <si>
    <t>Proceedings of the 13th Annual Scientific Conference of Medical Faculty, Universitas Jenderal Achmad Yani (ASCMF 2022)</t>
  </si>
  <si>
    <t>Kumala, Yudith Yunia</t>
  </si>
  <si>
    <t>Proceedings of the International Conference for Democracy and National Resilience 2022 (ICDNR 2022)</t>
  </si>
  <si>
    <t>Suprobowati, Gayatri Dyah</t>
  </si>
  <si>
    <t>Proceedings of the 2022 2nd International Conference on Modern Educational Technology and Social Sciences (ICMETSS 2022)</t>
  </si>
  <si>
    <t>Chen, Youbin</t>
  </si>
  <si>
    <t>Proceedings of the International Conference on Global Innovation and Trends in Economics and Business (ICOBIS 2022)</t>
  </si>
  <si>
    <t>Saha, Sanchita</t>
  </si>
  <si>
    <t>Proceedings of the 4th Vocational Education International Conference (VEIC 2022)</t>
  </si>
  <si>
    <t>Kusumastuti, Adhi</t>
  </si>
  <si>
    <t>Proceedings of the Annual Conference on Research, Educational Implementation, Social Studies and History (AREISSH 2021)</t>
  </si>
  <si>
    <t>Rochmat, Saefur</t>
  </si>
  <si>
    <t>The African Marine Litter Outlook</t>
  </si>
  <si>
    <t>Maes, Thomas</t>
  </si>
  <si>
    <t>Particle Polarization in High Energy Physics : An Introduction and Case Studies on Vector Particle Production at the LHC</t>
  </si>
  <si>
    <t>Faccioli, Pietro</t>
  </si>
  <si>
    <t>Proceedings of the 2022 2nd International Conference on Computer Technology and Media Convergence Design (CTMCD 2022)</t>
  </si>
  <si>
    <t>Subramanian, Kannimuthu</t>
  </si>
  <si>
    <t>Proceedings of the 2022 International Conference on Diversified Education and Social Development (DESD 2022)</t>
  </si>
  <si>
    <t>Yau, Yung</t>
  </si>
  <si>
    <t>Proceedings of the 3rd International Conference on Cardiovascular Diseases (ICCvD 2021)</t>
  </si>
  <si>
    <t>Nurdiyanto, Heri</t>
  </si>
  <si>
    <t>Proceedings of the 7th International Conference on Contemporary Education, Social Sciences and Humanities (Philosophy of Being Human As the Core of Interdisciplinary Research) (ICCESSH 2022)</t>
  </si>
  <si>
    <t>Chistyakova, Olga</t>
  </si>
  <si>
    <t>Proceedings of the 2022 International Conference on Bigdata Blockchain and Economy Management (ICBBEM 2022)</t>
  </si>
  <si>
    <t>Qiu, Daowen</t>
  </si>
  <si>
    <t>Proceedings of the First Mandalika International Multi-Conference on Science and Engineering 2022, MIMSE 2022 (Civil and Architecture)</t>
  </si>
  <si>
    <t>Anshari, Buan</t>
  </si>
  <si>
    <t>Proceedings of the 19th International Symposium on Management (INSYMA 2022)</t>
  </si>
  <si>
    <t>Murhadi, Werner Ria</t>
  </si>
  <si>
    <t>Proceedings of the International Conference on Mathematical Sciences and Statistics 2022 (ICMSS 2022)</t>
  </si>
  <si>
    <t>Wahi, Nadihah</t>
  </si>
  <si>
    <t>Splendors of Quanzhou, Past and Present</t>
  </si>
  <si>
    <t>Proceedings of the International Conference of Social Science and Education (ICOSSED 2021)</t>
  </si>
  <si>
    <t>Wardana, Amika</t>
  </si>
  <si>
    <t>Proceedings of the 4th International Conference on Life Sciences and Biotechnology (ICOLIB 2021)</t>
  </si>
  <si>
    <t>Sugiharto, Bambang</t>
  </si>
  <si>
    <t>Proceedings of the Tapanuli International Health Conference 2022 (TIHC 2022)</t>
  </si>
  <si>
    <t>Ritonga, Sukhri Herianto</t>
  </si>
  <si>
    <t>Marek Thee: My Story : A Journey Through the 20th Century</t>
  </si>
  <si>
    <t>Thee, Marek</t>
  </si>
  <si>
    <t>Proceedings of the First Mandalika International Multi-Conference on Science and Engineering 2022, MIMSE 2022 (Mechanical and Electrical)</t>
  </si>
  <si>
    <t>Sugiman, Sugiman</t>
  </si>
  <si>
    <t>Proceedings of the 2022 3rd International Conference on Big Data and Informatization Education (ICBDIE 2022)</t>
  </si>
  <si>
    <t>Zhan, Zehui</t>
  </si>
  <si>
    <t>Proceedings of the International Conference on Law and Digitalization (ICLD 2022)</t>
  </si>
  <si>
    <t>Adam, Yang Chik</t>
  </si>
  <si>
    <t>Proceedings of the Multimedia University Engineering Conference (MECON 2022)</t>
  </si>
  <si>
    <t>bin Alias, Mohamad Yusoff</t>
  </si>
  <si>
    <t>Proceedings of the 3rd Progress in Social Science, Humanities and Education Research Symposium (PSSHERS 2021)</t>
  </si>
  <si>
    <t>Ifdil, Ifdil</t>
  </si>
  <si>
    <t>Proceedings of the 1st International Seminar on Sharia, Law and Muslim Society (ISSLAMS 2022)</t>
  </si>
  <si>
    <t>Iswari, Putu Widhi</t>
  </si>
  <si>
    <t>Proceedings of the 2nd International Conference for Smart Agriculture, Food, and Environment (ICSAFE 2021)</t>
  </si>
  <si>
    <t>Huda, Nurul</t>
  </si>
  <si>
    <t>Proceedings of the International Conference on Sports Science and Health (ICSSH 2022)</t>
  </si>
  <si>
    <t>Hanief, Yulingga Nanda</t>
  </si>
  <si>
    <t>Proceedings of the First Mandalika International Multi-Conference on Science and Engineering 2022, MIMSE 2022 (Informatics and Computer Science)</t>
  </si>
  <si>
    <t>Wijaya, I. Gede Pasek Suta</t>
  </si>
  <si>
    <t>Proceedings of the International Colloquium on Business and Economics (ICBE 2022)</t>
  </si>
  <si>
    <t>Rahmawati, Rahmawati</t>
  </si>
  <si>
    <t>Proceedings of the International Conference on Sustainable Innovation on Health Sciences and Nursing (ICOSI-HSN 2022)</t>
  </si>
  <si>
    <t>Permana, Iman</t>
  </si>
  <si>
    <t>Proceedings of the International Conference on Sustainable Innovation on Humanities, Education, and Social Sciences (ICOSI-HESS 2022)</t>
  </si>
  <si>
    <t>Mutiarin, Dyah</t>
  </si>
  <si>
    <t>Proceedings of the Quality Assurance in Higher Education International Conference (QAHE 2022)</t>
  </si>
  <si>
    <t>Dorjgotov, Narantsetseg</t>
  </si>
  <si>
    <t>Proceedings of the 7th Progressive and Fun Education International Conference (PROFUNEDU 2022)</t>
  </si>
  <si>
    <t>Ishartono, Naufal</t>
  </si>
  <si>
    <t>Proceedings of the 9th International Conference on Education Research, and Innovation (ICERI 2021)</t>
  </si>
  <si>
    <t>Priyana, Joko</t>
  </si>
  <si>
    <t>Proceedings of the 2nd International Conference on Physical Education, Sport, and Health (ICoPESH 2022)</t>
  </si>
  <si>
    <t>Suwiwa, I. Gede</t>
  </si>
  <si>
    <t>Proceedings of the Annual International Conference on Social Science and Humanities (AICOSH 2022)</t>
  </si>
  <si>
    <t>Kertamukti, Rama</t>
  </si>
  <si>
    <t>Proceedings of the International Conference on Technology and Innovation Management (ICTIM 2022)</t>
  </si>
  <si>
    <t>Asmawi, Arnifa</t>
  </si>
  <si>
    <t>2nd International Conference on Creative Multimedia 2022 (ICCM 2022)</t>
  </si>
  <si>
    <t>Mustaffa, Fauzan</t>
  </si>
  <si>
    <t>The Concept of Moral Progress</t>
  </si>
  <si>
    <t>Albersmeier, Frauke</t>
  </si>
  <si>
    <t>Proceedings of the 2022 3rd International Conference on Modern Education and Information Management (ICMEIM 2022)</t>
  </si>
  <si>
    <t>Balakrishnan, Vishalache</t>
  </si>
  <si>
    <t>Proceedings of the International Conference on Computer, Information Technology and Intelligent Computing (CITIC 2022)</t>
  </si>
  <si>
    <t>Haw, Su-Cheng</t>
  </si>
  <si>
    <t>Proceedings of the International Academic Conference on Tourism (INTACT) Post Pandemic Tourism: Trends and Future Directions (INTACT 2022)</t>
  </si>
  <si>
    <t>Damanik, Janianton</t>
  </si>
  <si>
    <t>Proceedings of the 2nd International Conference on Social Knowledge Sciences and Education (ICSKSE 2022)</t>
  </si>
  <si>
    <t>Sumarmi, Sumarmi</t>
  </si>
  <si>
    <t>Proceedings of the International Conference on Communication, Language, Education and Social Sciences (CLESS 2022)</t>
  </si>
  <si>
    <t>Bhar, Sareen Kaur</t>
  </si>
  <si>
    <t>Proceedings of the Meaning in Life International Conference 2022 - Cultivating, Promoting, and Enhancing Meaning in Life Across Cultures and Life Span (MIL 2022)</t>
  </si>
  <si>
    <t>Proceedings of the International Joint Conference on Science and Engineering 2022 (IJCSE 2022)</t>
  </si>
  <si>
    <t>Agustin, Hapsari Peni</t>
  </si>
  <si>
    <t>Proceedings of the 2022 International Conference on Economics, Smart Finance and Contemporary Trade (ESFCT 2022)</t>
  </si>
  <si>
    <t>Balli, Faruk</t>
  </si>
  <si>
    <t>Proceedings of the 2022 3rd International Conference on Big Data and Social Sciences (ICBDSS 2022)</t>
  </si>
  <si>
    <t>Guan, Guiyun</t>
  </si>
  <si>
    <t>Architecture of Advanced Numerical Analysis Systems : Designing a Scientific Computing System Using OCaml</t>
  </si>
  <si>
    <t>Wang, Liang</t>
  </si>
  <si>
    <t>Proceedings of the 1st International Conference on Demographics and Civil-Registration (INCODEC 2021)</t>
  </si>
  <si>
    <t>Lukitasari, Diana</t>
  </si>
  <si>
    <t>Proceedings of the 2022 3rd International Conference on Artificial Intelligence and Education (IC-ICAIE 2022)</t>
  </si>
  <si>
    <t>Fox, Bob</t>
  </si>
  <si>
    <t>Proceedings of the 2022 International Conference on Mathematical Statistics and Economic Analysis (MSEA 2022)</t>
  </si>
  <si>
    <t>Vilas Bhau, Gaikar</t>
  </si>
  <si>
    <t>Proceedings of the 3rd International Conference on Language, Communication and Culture Studies (ICLCCS 2022)</t>
  </si>
  <si>
    <t>Pogrebnyak, Yulia</t>
  </si>
  <si>
    <t>Proceedings of the International Symposium Southeast Asia Vegetable 2021 (SEAVEG 2021)</t>
  </si>
  <si>
    <t>Irham, Irham</t>
  </si>
  <si>
    <t>Proceedings of the 3rd Borobudur International Symposium on Humanities and Social Science 2021 (BIS-HSS 2021)</t>
  </si>
  <si>
    <t>Setiyo, Muji</t>
  </si>
  <si>
    <t>Proceedings of the 4th Asia Pacific Management Research Conference (APMRC 2022)</t>
  </si>
  <si>
    <t>Saragih, Eva Hotnaidah</t>
  </si>
  <si>
    <t>Proceedings of the 3rd Annual Management, Business and Economics Conference (AMBEC 2021)</t>
  </si>
  <si>
    <t>Eltivia, Nurafni</t>
  </si>
  <si>
    <t>Proceedings of the 2nd International Conference on Internet, Education and Information Technology (IEIT 2022)</t>
  </si>
  <si>
    <t>El-Hashash, Ahmed</t>
  </si>
  <si>
    <t>Proceedings of the 2022 7th International Conference on Modern Management and Education Technology (MMET 2022)</t>
  </si>
  <si>
    <t>Peng, Chew Fong</t>
  </si>
  <si>
    <t>Proceedings of the 5th International Conference on Language, Literature, and Education (ICLLE-5 2022)</t>
  </si>
  <si>
    <t>Zulfadhli, Zulfadhli</t>
  </si>
  <si>
    <t>Proceedings of the 2022 International Conference on Science Education and Art Appreciation (SEAA 2022)</t>
  </si>
  <si>
    <t>Proceedings of the 3rd International Conference on Educational Science and Teacher Profession (ICETeP 2021)</t>
  </si>
  <si>
    <t>Yunita, Wisma</t>
  </si>
  <si>
    <t>Proceedings of the 2022 International Conference on Sport Science, Education and Social Development (SSESD 2022)</t>
  </si>
  <si>
    <t>Sun, Jian</t>
  </si>
  <si>
    <t>Proceedings of the 2022 6th International Seminar on Education, Management and Social Sciences (ISEMSS 2022)</t>
  </si>
  <si>
    <t>Ali, Ghaffar</t>
  </si>
  <si>
    <t>Proceedings of the 2022 2nd International Conference on Public Management and Intelligent Society (PMIS 2022)</t>
  </si>
  <si>
    <t>Luqman, Adeel</t>
  </si>
  <si>
    <t>Proceedings of the 3rd Annual Conference of Education and Social Sciences (ACCESS 2021)</t>
  </si>
  <si>
    <t>Amrullah, Amrullah</t>
  </si>
  <si>
    <t>Proceedings of the 2022 International Conference on Educational Innovation and Multimedia Technology (EIMT 2022)</t>
  </si>
  <si>
    <t>Proceedings of the International Conference of Fluid Power and Mechatronic Control Engineering (ICFPMCE 2022)</t>
  </si>
  <si>
    <t>Yan, Liang</t>
  </si>
  <si>
    <t>Proceedings of the 2022 2nd International Conference on Education, Information Management and Service Science (EIMSS 2022)</t>
  </si>
  <si>
    <t>Proceedings of the 2022 International Conference on International Studies in Social Sciences and Humanities (CISOC 2022)</t>
  </si>
  <si>
    <t>Barredo-Ibáñez, Daniel</t>
  </si>
  <si>
    <t>Proceedings of the 2022 Annual Technology, Applied Science and Engineering Conference (ATASEC 2022)</t>
  </si>
  <si>
    <t>Asmara, Rosa Andrie</t>
  </si>
  <si>
    <t>Proceedings of the 2022 2nd International Conference on Business Administration and Data Science (BADS 2022)</t>
  </si>
  <si>
    <t>Fernández-Viagas, Víctor</t>
  </si>
  <si>
    <t>Proceedings of the International Conference on Law Studies (INCOLS 2022)</t>
  </si>
  <si>
    <t>Meliala, Aurora Jillena</t>
  </si>
  <si>
    <t>Proceedings of the 2022 International Conference on Artificial Intelligence, Internet and Digital Economy (ICAID 2022)</t>
  </si>
  <si>
    <t>Radojević, Nebojsa</t>
  </si>
  <si>
    <t>Proceedings of the 2022 4th International Conference on Economic Management and Cultural Industry (ICEMCI 2022)</t>
  </si>
  <si>
    <t>Mallick, Hrushikesh</t>
  </si>
  <si>
    <t>Proceedings of the International Conference on Sustainable Environment, Agriculture and Tourism (ICOSEAT 2022)</t>
  </si>
  <si>
    <t>Saputro, Arifin Dwi</t>
  </si>
  <si>
    <t>The International Handbook of Social Enterprise Law : Benefit Corporations and Other Purpose-Driven Companies</t>
  </si>
  <si>
    <t>Peter, Henry</t>
  </si>
  <si>
    <t>Proceedings of the 7th International Conference on Social and Political Sciences (ICoSaPS 2022)</t>
  </si>
  <si>
    <t>Winarni, Leni</t>
  </si>
  <si>
    <t>Handbook of Open, Distance and Digital Education</t>
  </si>
  <si>
    <t>Zawacki-Richter, Olaf</t>
  </si>
  <si>
    <t>Marine Mammals : A Deep Dive into the World of Science</t>
  </si>
  <si>
    <t>Brennecke, Dennis</t>
  </si>
  <si>
    <t>General Average and Risk Management in Medieval and Early Modern Maritime Business</t>
  </si>
  <si>
    <t>Fusaro, Maria</t>
  </si>
  <si>
    <t>Interdisciplinarity in the Scholarly Life Cycle : Learning by Example in Humanities and Social Science Research</t>
  </si>
  <si>
    <t>Discursive Approaches to Politics in Malaysia : Legitimising Governance</t>
  </si>
  <si>
    <t>Rajandran, Kumaran</t>
  </si>
  <si>
    <t>Community Nursing Services in England : An Historical Policy Analysis</t>
  </si>
  <si>
    <t>Bramwell, Donna</t>
  </si>
  <si>
    <t>Making Presentation Math Computable : A Context-Sensitive Approach for Translating LaTeX to Computer Algebra Systems</t>
  </si>
  <si>
    <t>Greiner-Petter, André</t>
  </si>
  <si>
    <t>Make Capitalism History : A Practical Framework for Utopia and the Transformation of Society</t>
  </si>
  <si>
    <t>Sutterlütti, Simon</t>
  </si>
  <si>
    <t>Consumption, Sustainability and Everyday Life</t>
  </si>
  <si>
    <t>Hansen, Arve</t>
  </si>
  <si>
    <t>A Macroeconometric Model for Saudi Arabia : A Case Study on the World's Largest Oil Exporter</t>
  </si>
  <si>
    <t>Hasanov, Fakhri J.</t>
  </si>
  <si>
    <t>Sisters of the Brotherhood: Alienation and Inclusion in Learning Philosophy</t>
  </si>
  <si>
    <t>Ruonakoski, Erika</t>
  </si>
  <si>
    <t>The Ponytail : Icon, Movement, and the Modern (Sports)Woman</t>
  </si>
  <si>
    <t>Broch, Trygve B.</t>
  </si>
  <si>
    <t>Education, Equity and Inclusion : Teaching and Learning for a Sustainable North</t>
  </si>
  <si>
    <t>Hirshberg, Diane B.</t>
  </si>
  <si>
    <t>Speciesism in Biology and Culture : How Human Exceptionalism Is Pushing Planetary Boundaries</t>
  </si>
  <si>
    <t>Swartz, Brian</t>
  </si>
  <si>
    <t>Work and Occupation in French and English Mental Hospitals, C. 1918-1939</t>
  </si>
  <si>
    <t>Freebody, Jane</t>
  </si>
  <si>
    <t>Hyperparameter Tuning for Machine and Deep Learning with R : A Practical Guide</t>
  </si>
  <si>
    <t>Bartz, Eva</t>
  </si>
  <si>
    <t>Optimising Emotions, Incubating Falsehoods : How to Protect the Global Civic Body from Disinformation and Misinformation</t>
  </si>
  <si>
    <t>Bakir, Vian</t>
  </si>
  <si>
    <t>One Rights: Human and Animal Rights in the Anthropocene</t>
  </si>
  <si>
    <t>Stucki, Saskia</t>
  </si>
  <si>
    <t>Theoretical Knowledge in the Mohist Canon</t>
  </si>
  <si>
    <t>Schemmel, Matthias</t>
  </si>
  <si>
    <t>China-US Competition : Impact on Small and Middle Powers' Strategic Choices</t>
  </si>
  <si>
    <t>Grano, Simona A.</t>
  </si>
  <si>
    <t>Responsible AI in Africa : Challenges and Opportunities</t>
  </si>
  <si>
    <t>Eke, Damian Okaibedi</t>
  </si>
  <si>
    <t>Internationale Wahrnehmung Von Urheberrechten an Musikwerken : Grundlagen, Konzepte, Techniken</t>
  </si>
  <si>
    <t>Klingner, Stephan</t>
  </si>
  <si>
    <t>Science and Innovations for Food Systems Transformation</t>
  </si>
  <si>
    <t>Machine Learning and Its Application to Reacting Flows : ML and Combustion</t>
  </si>
  <si>
    <t>Swaminathan, Nedunchezhian</t>
  </si>
  <si>
    <t>Proceedings of the 2022 International Conference on Computer Science, Information Engineering and Digital Economy (CSIEDE 2022)</t>
  </si>
  <si>
    <t>Wu, Haocun</t>
  </si>
  <si>
    <t>Rethinking Film Festivals in the Pandemic Era and After</t>
  </si>
  <si>
    <t>de Valck, Marijke</t>
  </si>
  <si>
    <t>The Suez Canal: Past Lessons and Future Challenges</t>
  </si>
  <si>
    <t>Lutmar, Carmela</t>
  </si>
  <si>
    <t>Archives and Records : Privacy, Personality Rights, and Access</t>
  </si>
  <si>
    <t>Čtvrtník, Mikulás</t>
  </si>
  <si>
    <t>Systemic Circular Economy Solutions for Fiber Reinforced Composites</t>
  </si>
  <si>
    <t>Colledani, Marcello</t>
  </si>
  <si>
    <t>Technology Assessment in a Globalized World : Facing the Challenges of Transnational Technology Governance</t>
  </si>
  <si>
    <t>Hennen, Leonhard</t>
  </si>
  <si>
    <t>Estudios Eidéticos : Una Conversación Desde el Sur Sobre la Vida de Las Ideas y la Reconfiguración de un Espacio Disciplinar</t>
  </si>
  <si>
    <t>Ariadna Ediciones</t>
  </si>
  <si>
    <t>Devés-Valdés, Eduardo</t>
  </si>
  <si>
    <t>Intelectuales y Revolución : Científicos Sociales Latinoamericanos en el MIR Chileno (1965-1973)</t>
  </si>
  <si>
    <t>Lozoya López, Ivette</t>
  </si>
  <si>
    <t>Exilio y Renovación : Transferencia Política Del Socialismo Chileno en Europa Occidental, 1973-1988</t>
  </si>
  <si>
    <t>Perry Fauré, Mariana</t>
  </si>
  <si>
    <t>A Southern Perspective on Development Studies</t>
  </si>
  <si>
    <t>Mallorquin, Carlos</t>
  </si>
  <si>
    <t>La Forja de una Opinión Pública : Leer y Escribir en Buenos Aires, 1800-1810</t>
  </si>
  <si>
    <t>Martínez Gramuglia, Pablo</t>
  </si>
  <si>
    <t>Los Trotskistas Bajo el Terror Nazi : Una Historia de la IV Internacional Durante la Segunda Guerra Mundial</t>
  </si>
  <si>
    <t>Luparello, Velia</t>
  </si>
  <si>
    <t>La Circulación de Las Ideas de America Latina-Caribe Por el Mundo, 1970-2000</t>
  </si>
  <si>
    <t>Un Protagonismo Recobrado : La Democracia Cristiana Chilena y Sus Vínculos Internacionales (1973 - 1990)</t>
  </si>
  <si>
    <t>Ulianova, Olga</t>
  </si>
  <si>
    <t>Identidad y Política en la Música Del Cine Chileno (1939-1973)</t>
  </si>
  <si>
    <t>Farías, Martín</t>
  </si>
  <si>
    <t>Clasistas, Antiimperialistas y Revolucionarios : Trayectoria Política e Intelectual Del Socialismo Chileno Contemporáneo, 1932-1973</t>
  </si>
  <si>
    <t>Poy, Lucas</t>
  </si>
  <si>
    <t>Aproximaciones Al Marxismo Latinoamericano : Teoría, Historia y Política</t>
  </si>
  <si>
    <t>Cabaluz D., J. Fabian</t>
  </si>
  <si>
    <t>Vivir en Tiempos Convulsionados : Reflexiones Sociocríticas para Propuestas de Intervención Social</t>
  </si>
  <si>
    <t>Iturrieta Olivares, Sandra</t>
  </si>
  <si>
    <t>La Ilusión de la Libertad : El Liberalismo Revolucionario en la década de 1820 en España y América</t>
  </si>
  <si>
    <t>Planificación y Evaluación para Los Aprendizajes en Educación Infantil Desde un Enfoque de Derechos</t>
  </si>
  <si>
    <t>Manhey Moreno, Monica</t>
  </si>
  <si>
    <t>Estudios Interculturales Desde el Sur: Procesos, Debates y Propuestas</t>
  </si>
  <si>
    <t>Samaniego Sastre, Mario</t>
  </si>
  <si>
    <t>La Segunda Internacional y el Imperialismo : Una Comparación Entre la Socialdemocracia Alemana y Francesa (1896- 1914)</t>
  </si>
  <si>
    <t>Quiroga, Manuel</t>
  </si>
  <si>
    <t>Dilemas Del Trabajo y Las Políticas Laborales: Entre Neoliberalismos y Buen Vivir en América Latina en el Siglo XXI</t>
  </si>
  <si>
    <t>Vidal Molina, Paula</t>
  </si>
  <si>
    <t>Cuestionamientos Al Modelo Extractivista Neoliberal Desde el Sur : Capitalismo, Territorios y Resistencias</t>
  </si>
  <si>
    <t>Alister, Cristian</t>
  </si>
  <si>
    <t>Introducción Al Ecomunitarismo y a la Educación Ambiental : Una Lectura Chilena de la Obra de Sirio lópez Velasco</t>
  </si>
  <si>
    <t>Salas Astraín, Ricardo</t>
  </si>
  <si>
    <t>Y la Independencia de Iberoamérica Se Hizo. Varios Procesos, Múltiples Enfoques, una Mirada Global</t>
  </si>
  <si>
    <t>Revistas y Redes en la Conformación Del Campo Intelectual Latinoamericano</t>
  </si>
  <si>
    <t>Música y Trabajo : Organizaciones Gremiales de Músicos en Chile, 1893-1940</t>
  </si>
  <si>
    <t>Karmy, Eileen</t>
  </si>
  <si>
    <t>200 años Después: Los Andes en la Encrucijada de Las Independencias : Panamá, Colombia, Ecuador, perú, Bolivia, Chile y España</t>
  </si>
  <si>
    <t>En Contra de Los Impíos : La Actuación de la Buena Prensa Católica en la Arquidiócesis de Santiago,1906-1936</t>
  </si>
  <si>
    <t>Loyola Tapia, Manuel</t>
  </si>
  <si>
    <t>Los Claroscuros Del Debate : Pueblos Indígenas, Colonialismo, y Subalternidad en América Del Sur, Siglos XX y XXI</t>
  </si>
  <si>
    <t>Canales Tapia, Pedro</t>
  </si>
  <si>
    <t>El Marxismo y la Liberación de Las Mujeres Trabajadoras: de la Internacional de Mujeres Socialistas a la Revolución Rusa</t>
  </si>
  <si>
    <t>Frencia, Cintia</t>
  </si>
  <si>
    <t>¿Clase o Pueblo? : Una Crítica Científica Desde el Marxismo</t>
  </si>
  <si>
    <t>Salgado, Manuel</t>
  </si>
  <si>
    <t>Redención y Utopía : El Judaísmo Libertario en Europa Central. un Estudio de la Afinidad Electiva</t>
  </si>
  <si>
    <t>Löwy, Michael</t>
  </si>
  <si>
    <t>Feminismo y Movimiento de Mujeres Socialistas en la Revolución Rusa</t>
  </si>
  <si>
    <t>La Internacional Comunista en America Latina : En Documentos Del Archivo de Moscú</t>
  </si>
  <si>
    <t>Jeifets, Víctor</t>
  </si>
  <si>
    <t>José Carlos Mariátegui : Originales e Inéditos 1928</t>
  </si>
  <si>
    <t>Mariátegui, José Carlos</t>
  </si>
  <si>
    <t>Pensamiento Indígena en Nuestramérica : Debates y Propuestas en la Mesa de Hoy</t>
  </si>
  <si>
    <t>Comunidad y Estado en Álvaro García Linera : Un análisis a Través de Sus Lugares de Enunciación (1988-2017)</t>
  </si>
  <si>
    <t>La Liga de Las Juventudes Comunistas (Komsomol) y la Transformación de la Unión Soviética (1917-1932)</t>
  </si>
  <si>
    <t>Neumann, Matthias</t>
  </si>
  <si>
    <t>Mujeres y Política en Chile, Siglos XIX y XX</t>
  </si>
  <si>
    <t>(des) Movilización de la Sociedad Civil Chilena : Post-Trauma, Gobernabilidad y Neoliberalismo (1990-2010)</t>
  </si>
  <si>
    <t>Jara Ibarra, Camila</t>
  </si>
  <si>
    <t>El Debate Permanente : Modos de Producción y Revolución en América Latina</t>
  </si>
  <si>
    <t>Marchena, Juan</t>
  </si>
  <si>
    <t>Interpretaciones Del Delito : Para una Hermenéutica Materialista en la Narrativa Policial de Juan Carlos Martelli</t>
  </si>
  <si>
    <t>Feuillet, Lucía</t>
  </si>
  <si>
    <t>Para una Sociología de la Emancipación Mental</t>
  </si>
  <si>
    <t>Chávez, Juan Miguel</t>
  </si>
  <si>
    <t>El Partido Socialista Argentino</t>
  </si>
  <si>
    <t>Entrepreneurial Theorizing : An Approach to Research</t>
  </si>
  <si>
    <t>Proceedings of the 2022 5th International Conference on Humanities Education and Social Sciences (ICHESS 2022)</t>
  </si>
  <si>
    <t>Holl, Augustin</t>
  </si>
  <si>
    <t>2022 2nd International Conference on Management Science and Software Engineering (ICMSSE 2022)</t>
  </si>
  <si>
    <t>Khan, Syed Abdul Rehman</t>
  </si>
  <si>
    <t>Proceedings of the 2022 2nd International Conference on Economic Development and Business Culture (ICEDBC 2022)</t>
  </si>
  <si>
    <t>Jiang, Yushi</t>
  </si>
  <si>
    <t>Proceedings of the Sixth International Conference on Language, Literature, Culture, and Education (ICOLLITE 2022)</t>
  </si>
  <si>
    <t>Haristiani, Nuria</t>
  </si>
  <si>
    <t>Joe Pawsey and the Founding of Australian Radio Astronomy : Early Discoveries, from the Sun to the Cosmos</t>
  </si>
  <si>
    <t>Goss, W. M.</t>
  </si>
  <si>
    <t>Progress in Landslide Research and Technology, Volume 1 Issue 1 2022</t>
  </si>
  <si>
    <t>Progress in Landslide Research and Technology, Volume 1 Issue 2 2022</t>
  </si>
  <si>
    <t>Alcántara-Ayala, Irasema</t>
  </si>
  <si>
    <t>La politización feminista e indígena en Abya Yala : Encrucijadas y discontinuidades</t>
  </si>
  <si>
    <t>Gigena, Andrea Ivanna</t>
  </si>
  <si>
    <t>Writing Facts : Interdisciplinary Discussions of a Key Concept in Modernity</t>
  </si>
  <si>
    <t>Gebärdensprachdolmetschen als Beruf : Professionalisierung als Grenzziehungsarbeit. Eine historische Fallstudie in Österreich</t>
  </si>
  <si>
    <t>Grbic, Nadja</t>
  </si>
  <si>
    <t>Den Staat aus der Gesellschaft denken : Ein kritischer Ansatz der Politischen Bildung</t>
  </si>
  <si>
    <t>Regier, Sascha</t>
  </si>
  <si>
    <t>Die Politik der Toten : Figuren und Funktionen der Toten in Literatur und Politischer Theorie</t>
  </si>
  <si>
    <t>Llanque, Marcus</t>
  </si>
  <si>
    <t>Pflegedidaktik im Überblick : Zwischen Transformation und Diffusion</t>
  </si>
  <si>
    <t>Gahlen-Hoops, Wolfgang von</t>
  </si>
  <si>
    <t>Narrativas de exesclavizados afroamericanos : Conflictos de autoría</t>
  </si>
  <si>
    <t>Cham, Gerardo</t>
  </si>
  <si>
    <t>Informationsströme in digitalen Kulturen : Theoriebildung, Geschichte und logistischer Kapitalismus</t>
  </si>
  <si>
    <t>Denecke, Mathias</t>
  </si>
  <si>
    <t>Populismus und Kino : Politische Repräsentation im Hollywood der 1930er Jahre</t>
  </si>
  <si>
    <t>Pause, Johannes</t>
  </si>
  <si>
    <t>Norman M. Klein's »Bleeding Through: Layers of Los Angeles« : An Updated Edition 20 Years Later</t>
  </si>
  <si>
    <t>Gurr, Jens Martin</t>
  </si>
  <si>
    <t>Belgische Literaturen in deutscher Übersetzung : Kulturelle und historische Verflechtungen von 1945 bis zur Gegenwart</t>
  </si>
  <si>
    <t>Pol-Tegge, Anja van de</t>
  </si>
  <si>
    <t>Innere Grenzziehungen : Das Nothilfe-Regime im schweizerischen Asylsystem</t>
  </si>
  <si>
    <t>Marti, Simone</t>
  </si>
  <si>
    <t>Mit Daten sprechen : Praktiken, Expertisen und Visualisierungsmodi im Datenjournalismus</t>
  </si>
  <si>
    <t>Estermann, Rahel</t>
  </si>
  <si>
    <t>Ansichten zur Ansichtskarte : Textlinguistik, Korpuspragmatik und Kulturanalyse</t>
  </si>
  <si>
    <t>Hausendorf, Heiko</t>
  </si>
  <si>
    <t>Health as a Social System : Luhmann's Theory Applied to Health Systems. An Introduction</t>
  </si>
  <si>
    <t>Costa, João</t>
  </si>
  <si>
    <t>Early Readers, Scholars and Editors of the New Testament : Papers from the Eighth Birmingham Colloquium on the Textual Criticism of the New Testament</t>
  </si>
  <si>
    <t>Gorgias Press, LLC</t>
  </si>
  <si>
    <t>O'Loughlin, Thomas</t>
  </si>
  <si>
    <t>Withstanding Vulnerability Throughout Adult Life : Dynamics of Stressors, Resources, and Reserves</t>
  </si>
  <si>
    <t>Spini, Dario</t>
  </si>
  <si>
    <t>The Notebook of Kamāl Al-Dīn the Weaver : Aleppine Notes from the End of the 16th Century</t>
  </si>
  <si>
    <t>Liebrenz, Boris</t>
  </si>
  <si>
    <t>Healing Grief : A Commentary on Seneca's Consolatio Ad Marciam</t>
  </si>
  <si>
    <t>Tutrone, Fabio</t>
  </si>
  <si>
    <t>Information and Communication Technologies in Tourism 2023 : Proceedings of the ENTER 2023 ETourism Conference, January 18-20 2023</t>
  </si>
  <si>
    <t>Die Fragen der Opfer Im Strafprozess : Bedürfnisse und Erwartungen Im Kontext der Strafverfahrensrechtlichen Bewältigung</t>
  </si>
  <si>
    <t>Hochstätter, Ulrica</t>
  </si>
  <si>
    <t>Proceedings of the Unima International Conference on Social Sciences and Humanities (UNICSSH 2022)</t>
  </si>
  <si>
    <t>Harold Elby Sendouw, Recky</t>
  </si>
  <si>
    <t>Algorithms for Big Data : DFG Priority Program 1736</t>
  </si>
  <si>
    <t>Bast, Hannah</t>
  </si>
  <si>
    <t>Silicon Valley Cybersecurity Conference : Third Conference, SVCC 2022, Virtual Event, August 17-19, 2022, Revised Selected Papers</t>
  </si>
  <si>
    <t>Bathen, Luis</t>
  </si>
  <si>
    <t>AI Ethics in Higher Education: Insights from Africa and Beyond</t>
  </si>
  <si>
    <t>Corrigan, Caitlin C.</t>
  </si>
  <si>
    <t>Revolution and Witchcraft : The Code of Ideology in Unsettled Times</t>
  </si>
  <si>
    <t>Chang, Gordon C.</t>
  </si>
  <si>
    <t>Handbook of Computational Social Science for Policy</t>
  </si>
  <si>
    <t>Bertoni, Eleonora</t>
  </si>
  <si>
    <t>Proceedings of the 3rd International Conference on Business Law and Local Wisdom in Tourism (ICBLT 2022)</t>
  </si>
  <si>
    <t>Budiartha, I. Nyoman Putu</t>
  </si>
  <si>
    <t>Photographic Elicitation and Narration in Teachers Education and Development</t>
  </si>
  <si>
    <t>Bautista García-Vera, Antonio</t>
  </si>
  <si>
    <t>Grundsätze Ordnungsmäßiger Bilanzierung Von Kundenbeziehungen Nach GoB Im Vergleich Zu IFRS : Objektivierung des Immateriellen Vermögensbegriffs</t>
  </si>
  <si>
    <t>Müller, Jana Katharina</t>
  </si>
  <si>
    <t>Evidenzbasiertes Wildtiermanagement</t>
  </si>
  <si>
    <t>Contours of Feminist Political Ecology</t>
  </si>
  <si>
    <t>Sustainable Futures in Southern Africa's Mountains : Multiple Perspectives on an Emerging City</t>
  </si>
  <si>
    <t>Membretti, Andrea</t>
  </si>
  <si>
    <t>Experimental Techniques in Modern High-Energy Physics : A Beginner's Guide</t>
  </si>
  <si>
    <t>Hanagaki, Kazunori</t>
  </si>
  <si>
    <t>Qatar's Nation Branding and Soft Power : Exploring the Effects on National Identity and International Stance</t>
  </si>
  <si>
    <t>Al-Tamimi, Nawaf</t>
  </si>
  <si>
    <t>Mission AI : The New System Technology</t>
  </si>
  <si>
    <t>Sheikh, Haroon</t>
  </si>
  <si>
    <t>Sine Cosine Algorithm for Optimization</t>
  </si>
  <si>
    <t>Bansal, Jagdish Chand</t>
  </si>
  <si>
    <t>Proceedings of the 1st International Conference on Innovation in Information Technology and Business (ICIITB 2022)</t>
  </si>
  <si>
    <t>Bacanin, Nebojsa</t>
  </si>
  <si>
    <t>Environmental Governance in Indonesia</t>
  </si>
  <si>
    <t>Triyanti, Annisa</t>
  </si>
  <si>
    <t>Nordic Artificial Intelligence Research and Development : 4th Symposium of the Norwegian AI Society, NAIS 2022, Oslo, Norway, May 31 - June 1, 2022, Revised Selected Papers</t>
  </si>
  <si>
    <t>Zouganeli, Evi</t>
  </si>
  <si>
    <t>Artificial Intelligence Oceanography</t>
  </si>
  <si>
    <t>Li, Xiaofeng</t>
  </si>
  <si>
    <t>Die Lehrperson Als Golem Oder Galatea : Empirische Untersuchungen Zu Kompetenzerwartungen Von Lernenden an Lehrpersonen</t>
  </si>
  <si>
    <t>Hackbart, Marcel</t>
  </si>
  <si>
    <t>Humanistic Governance in Democratic Organizations : The Cooperative Difference</t>
  </si>
  <si>
    <t>Novković, Sonja</t>
  </si>
  <si>
    <t>Developing Sustainable and Energy-Efficient Software Systems</t>
  </si>
  <si>
    <t>Kruglov, Artem</t>
  </si>
  <si>
    <t>Policing in the Pacific Islands</t>
  </si>
  <si>
    <t>Watson, Danielle</t>
  </si>
  <si>
    <t>Proceedings of the Conference on Digital Humanities 2022 (CODH 2022)</t>
  </si>
  <si>
    <t>Nuriman, Harry</t>
  </si>
  <si>
    <t>Proceedings of the 10th International Conference on Business, Accounting, Finance and Economics (BAFE 2022)</t>
  </si>
  <si>
    <t>Chen, Fanyu</t>
  </si>
  <si>
    <t>Metodika práce s třídním kolektivem v inkluzivní třídě se zaměřením na žáky s tělesným postižením : Metodická příručka</t>
  </si>
  <si>
    <t>Understanding unconventional medicine : Social sciences on traditional, complementary and alternative therapies in Slovakia</t>
  </si>
  <si>
    <t>Souček, Ivan</t>
  </si>
  <si>
    <t>1st Plasma for Nanotechnology and Bioapplications Workshop : Scientific Program and Book of Abstract</t>
  </si>
  <si>
    <t>Kováčik, Dušan</t>
  </si>
  <si>
    <t>Natural Toxins: Environmental Fate and Safe Water Supply : Conference Abstract Book and Proceedings. 24 th–25th September 2020</t>
  </si>
  <si>
    <t>Bruun, Hans</t>
  </si>
  <si>
    <t>Studentská geologická konference 2020 : Sborník abstraktů</t>
  </si>
  <si>
    <t>Volejbal pro trenéry a učitele</t>
  </si>
  <si>
    <t>Haník, Zdeněk</t>
  </si>
  <si>
    <t>Metodika práce s žáky se specifickými poruchami učení: Aplikace písní s rytmickým a pohybovým doprovodem v cizím jazyce (francouzština) : Metodická příručka</t>
  </si>
  <si>
    <t>Schejbalová, Zdeňka</t>
  </si>
  <si>
    <t>Sborník konference didaktiky přírodních věd DidSci+ 2021</t>
  </si>
  <si>
    <t>Švandová, Veronika</t>
  </si>
  <si>
    <t>Terénní výuka na PdF MU : Podpora využití technološgií a realizace výzkumných aktivit v pregraduálním vzdělávání budoucích učitelů</t>
  </si>
  <si>
    <t>2nd Plasma Nanotechnologies and Bioapplications Workshop : Scientific Program and Book of Abstracts</t>
  </si>
  <si>
    <t>Galmiz, Oleksandr</t>
  </si>
  <si>
    <t>Srovnatelnost testových verzí slovenské maturitní zkoušky z anglického jazyka</t>
  </si>
  <si>
    <t>Hulešová, Martina</t>
  </si>
  <si>
    <t>Outdoor Education and its Inclusion into Teaching at PdF MU : Support for the Use of Technology and the Implementation of Research Activities in the Undergraduate Education of Future Teachers</t>
  </si>
  <si>
    <t>Koncepce rozvoje geoinformačních dovedností ve výuce na základních a středních školách</t>
  </si>
  <si>
    <t>Briefe vom Kaiserhof : Die letzten Luxemburger in der diplomatischen Korrespondenz aus dem Archiv der Gonzaga von Mantua (1380–1436)</t>
  </si>
  <si>
    <t>Schmidt, Ondřej</t>
  </si>
  <si>
    <t>Pedagogická diagnostika a pedagogické diagnostikování : Učební materiál</t>
  </si>
  <si>
    <t>Musica viva in schola XXVII. : Sborník konferenčních příspěvků</t>
  </si>
  <si>
    <t>Povolání chirurg: specifická pomáhající profese</t>
  </si>
  <si>
    <t>Výzkum v didaktice cizích jazyků IV</t>
  </si>
  <si>
    <t>Mendel Lectures 2002–2022</t>
  </si>
  <si>
    <t>Hobzová, Dominika</t>
  </si>
  <si>
    <t>Studentská geologická konference 2022 : Sborník abstraktů</t>
  </si>
  <si>
    <t>XXV. mezinárodní kolokvium o regionálních vědách : Sborník příspěvků</t>
  </si>
  <si>
    <t>Výroční vědecká konference CZECRIN 2022 : Sborník abstraktů</t>
  </si>
  <si>
    <t>Součková, Lenka</t>
  </si>
  <si>
    <t>Life in Health 2021: Research and Practice : Proceedings of the International Conference held on 9–10 September 2021</t>
  </si>
  <si>
    <t>Vlček, Petr</t>
  </si>
  <si>
    <t>Po O. Východiska a inspirace pro výtvarnou tvorbu dětí v předškolním vzdělávání</t>
  </si>
  <si>
    <t>Gregor Johann Mendel : Cesty ke genomu zakladatele genetiky | Begründer der Genetik – die Wege zu seinem Genom | Ways to the genome of the founder of genetics</t>
  </si>
  <si>
    <t>Rozhovory v Komenském : Tucet zamyšlení o výchově a vzdělávání</t>
  </si>
  <si>
    <t>Rodová, Veronika</t>
  </si>
  <si>
    <t>Moje dobrodružná cesta sociologií : 100 let sociologie v Brně z mého pohledu</t>
  </si>
  <si>
    <t>13th International Conference on Kinanthropology. Sport and Quality of Life : Book of Abstracts. September 7–9, 2022</t>
  </si>
  <si>
    <t>International Perforator Flap Dissection Course : Book of abstracts</t>
  </si>
  <si>
    <t>Martiníková, Šárka</t>
  </si>
  <si>
    <t>Cesta ke zdraví : Náměty k implementaci onkologické prevence do výuky výchovy ke zdraví</t>
  </si>
  <si>
    <t>Poradní kruh jako součást školní praxe</t>
  </si>
  <si>
    <t>Banďouchová, Petra</t>
  </si>
  <si>
    <t>XIV. studentská vědecká konference Katedry českého jazyka a literatury : 17. března 2022</t>
  </si>
  <si>
    <t>Vladislav Vančura v literárním kontextu 20. století</t>
  </si>
  <si>
    <t>Poláček, Jiří</t>
  </si>
  <si>
    <t>DEAFinitely English : Online materials for teachers of English as a Foreign Language for Deaf, deaf and hard of hearing students</t>
  </si>
  <si>
    <t>Sedláčková, Jitka</t>
  </si>
  <si>
    <t>66. studentská vědecká konference : Program a sborník abstraktů</t>
  </si>
  <si>
    <t>Držení těla a funkční stav pohybového aparátu u dětí ve věku 6–8 let: případová studie</t>
  </si>
  <si>
    <t>MABC-2 pro děti s poruchou autistického spektra : Manuál pro metodiku šetření dětí testem motoriky MABC-2</t>
  </si>
  <si>
    <t>Možná, Tereza</t>
  </si>
  <si>
    <t>Selected Analytical Techniques of Solid State, Structure Identification, and Dissolution Testing in Drug Life Cycle : Analytical Techniques in Drug Life Cycle</t>
  </si>
  <si>
    <t>Čulen, Martin</t>
  </si>
  <si>
    <t>Svět pro děti do tří let : Vhledy do současné podoby rané výchovy a péče v ČR</t>
  </si>
  <si>
    <t>Patterns and Variation in English Language Discourse : 9th Brno Conference on Linguistics Studies in English</t>
  </si>
  <si>
    <t>Hůlková, Irena</t>
  </si>
  <si>
    <t>Mongolian Ritual Texts in Manuscript Collections in the Czech Republic : Part 1</t>
  </si>
  <si>
    <t>Srba, Ondřej</t>
  </si>
  <si>
    <t>EQUADIFF 15 : History, Personalities, Plenary and Invited Abstracts, and Program</t>
  </si>
  <si>
    <t>Řehák, Pavel</t>
  </si>
  <si>
    <t>Produktivní kultura vyučování a učení v didaktických kazuistikách</t>
  </si>
  <si>
    <t>Proceedings of the Focus Conference (TFC 2022)</t>
  </si>
  <si>
    <t>Makua, Manyane</t>
  </si>
  <si>
    <t>Proceedings of the 2022 4th International Conference on Literature, Art and Human Development (ICLAHD 2022)</t>
  </si>
  <si>
    <t>Majoul, Bootheina</t>
  </si>
  <si>
    <t>EU Integrated Urban Initiatives : Policy Learning and Quality of Life Impacts in Spain</t>
  </si>
  <si>
    <t>Navarro Yáñez, Clemente J.</t>
  </si>
  <si>
    <t>Proceedings of the International Conference on Educational Management and Technology (ICEMT 2022)</t>
  </si>
  <si>
    <t>Wiyono, Bambang Budi</t>
  </si>
  <si>
    <t>Risky Play : An Ethical Challenge</t>
  </si>
  <si>
    <t>Kvalnes, Øyvind</t>
  </si>
  <si>
    <t>Warranty Obligations in Western France, 1040-1270 : Law, Custom, and Lordship</t>
  </si>
  <si>
    <t>McHaffie, M. W</t>
  </si>
  <si>
    <t>Political Islam and Religiously Motivated Political Extremism : An International Comparison</t>
  </si>
  <si>
    <t>Tausch, Arno</t>
  </si>
  <si>
    <t>Female Genital Mutilation/Cutting : Global Zero Tolerance Policy and Diverse Responses from African and Asian Local Communities</t>
  </si>
  <si>
    <t>Nakamura, Kyoko</t>
  </si>
  <si>
    <t>Microhistories of Technology : Making the World</t>
  </si>
  <si>
    <t>Hård, Mikael</t>
  </si>
  <si>
    <t>Anxieties of Migration and Integration in Turbulent Times</t>
  </si>
  <si>
    <t>Jakobson, Mari-Liis</t>
  </si>
  <si>
    <t>Advances in Frontier Research on Engineering Structures</t>
  </si>
  <si>
    <t>Yang, Yang</t>
  </si>
  <si>
    <t>Revealing Media Bias in News Articles : NLP Techniques for Automated Frame Analysis</t>
  </si>
  <si>
    <t>Hamborg, Felix</t>
  </si>
  <si>
    <t>Protest-Aktivist*innen der Umweltschutz-Bewegung Im Netz und Auf der Straße : Voraussetzungen und Motive Für Partizipation</t>
  </si>
  <si>
    <t>Villioth, Lisa</t>
  </si>
  <si>
    <t>Causality in Policy Studies : A Pluralist Toolbox</t>
  </si>
  <si>
    <t>Damonte, Alessia</t>
  </si>
  <si>
    <t>Proceedings of the International Conference on Applied Science and Technology on Social Science 2022 (iCAST-SS 2022)</t>
  </si>
  <si>
    <t>Azizah, Amiril</t>
  </si>
  <si>
    <t>Artificial Intelligence and Cognitive Science : 30th Irish Conference, AICS 2022, Munster, Ireland, December 8-9, 2022, Revised Selected Papers</t>
  </si>
  <si>
    <t>Longo, Luca</t>
  </si>
  <si>
    <t>Strategic Opportunism: What Works in Africa : Twelve Fundamentals for Conservation Success</t>
  </si>
  <si>
    <t>Huntley, Brian John</t>
  </si>
  <si>
    <t>Proceedings of PIANC Smart Rivers 2022 : Green Waterways and Sustainable Navigations</t>
  </si>
  <si>
    <t>Li, Yun</t>
  </si>
  <si>
    <t>Regularity of the One-Phase Free Boundaries</t>
  </si>
  <si>
    <t>Velichkov, Bozhidar</t>
  </si>
  <si>
    <t>Distributed Learning Ecosystems : Concepts, Resources, and Repositories</t>
  </si>
  <si>
    <t>Otto, Daniel</t>
  </si>
  <si>
    <t>Euphorias in Gender, Sex and Sexuality Variations : Positive Experiences</t>
  </si>
  <si>
    <t>Jones, Tiffany</t>
  </si>
  <si>
    <t>Migration, Displacement, and Higher Education : Now What?</t>
  </si>
  <si>
    <t>Murray, Brittany</t>
  </si>
  <si>
    <t>Proceedings of the International Conference on Advance Transportation, Engineering, and Applied Science (ICATEAS 2022)</t>
  </si>
  <si>
    <t>Bagus Harianto, Bambang</t>
  </si>
  <si>
    <t>Business Transitions: a Path to Sustainability : The CapSEM Model</t>
  </si>
  <si>
    <t>Fet, Annik Magerholm</t>
  </si>
  <si>
    <t>Die Zukunft des MINT-Lernens - Band 2 : Digitale Tools und Methoden Für das Lehren und Lernen</t>
  </si>
  <si>
    <t>Kausalität und Mentale Verursachung : Eine Verteidigung des Nicht-Reduktiven Physikalismus</t>
  </si>
  <si>
    <t>Rolffs, Matthias</t>
  </si>
  <si>
    <t>Living Well in a World Worth Living in for All : Volume 1: Current Practices of Social Justice, Sustainability and Wellbeing</t>
  </si>
  <si>
    <t>Reimer, Kristin Elaine</t>
  </si>
  <si>
    <t>Geostatistics Toronto 2021 : Quantitative Geology and Geostatistics</t>
  </si>
  <si>
    <t>Avalos Sotomayor, Sebastian Alejandro</t>
  </si>
  <si>
    <t>Auswirkungen Von Standardisierung Auf Zentralabitur und Unterricht : Empirische und Systemtheoretische Analysen Zum Fach Geographie</t>
  </si>
  <si>
    <t>Mäsgen, Johanna</t>
  </si>
  <si>
    <t>The Barcelona School of Ecological Economics and Political Ecology : A Companion in Honour of Joan Martinez-Alier</t>
  </si>
  <si>
    <t>Villamayor-Tomas, Sergio</t>
  </si>
  <si>
    <t>Das Potenzial Von Marketing Für eine Ressourcenorientierte Transformation des Konsumsystems : Eine Systemische Erkundung Von Möglichkeitsräumen</t>
  </si>
  <si>
    <t>Rieck, Louise Ina Hannah</t>
  </si>
  <si>
    <t>Seed Science and Technology : Biology, Production, Quality</t>
  </si>
  <si>
    <t>Dadlani, Malavika</t>
  </si>
  <si>
    <t>Towards User-Centric Transport in Europe 3 : Making Digital Mobility Inclusive and Accessible</t>
  </si>
  <si>
    <t>Keseru, Imre</t>
  </si>
  <si>
    <t>Measurement Across the Sciences : Developing a Shared Concept System for Measurement</t>
  </si>
  <si>
    <t>Mari, Luca</t>
  </si>
  <si>
    <t>Families and New Media : Comparative Perspectives on Digital Transformations in Law and Society</t>
  </si>
  <si>
    <t>Dethloff, Nina</t>
  </si>
  <si>
    <t>Computational Physiology : Simula Summer School 2022  Student Reports</t>
  </si>
  <si>
    <t>Proceedings of the 1st International Conference for Health Research - BRIN (ICHR 2022)</t>
  </si>
  <si>
    <t>Nurlaila, Ika</t>
  </si>
  <si>
    <t>Rice Green Revolution in Sub-Saharan Africa</t>
  </si>
  <si>
    <t>Proceedings of the TMIC 2022 Slope Stability Conference (TMIC 2022)</t>
  </si>
  <si>
    <t>Javankhoshdel, Sina</t>
  </si>
  <si>
    <t>Boreal Forests in the Face of Climate Change : Sustainable Management</t>
  </si>
  <si>
    <t>Girona, Miguel Montoro</t>
  </si>
  <si>
    <t>Inquisitive Logic : Consequence and Inference in the Realm of Questions</t>
  </si>
  <si>
    <t>Ciardelli, Ivano</t>
  </si>
  <si>
    <t>Marginalisierung, Stadt und Soziale Arbeit : Soziale Arbeit Im Spannungsfeld Von Politik, Quartierbevölkerung und Professionellem Selbstverständnis</t>
  </si>
  <si>
    <t>Oehler, Patrick</t>
  </si>
  <si>
    <t>Ambidextres Innovationsmanagement in KMU : Praxisnahe Konzepte und Methoden</t>
  </si>
  <si>
    <t>Lang-Koetz, Claus</t>
  </si>
  <si>
    <t>Proceedings of the 2nd International Student Conference on Linguistics (ISCL 2022)</t>
  </si>
  <si>
    <t>Umiyati, Mirsa</t>
  </si>
  <si>
    <t>Proceedings of the 2nd International Conference on Education, Language and Art (ICELA 2022)</t>
  </si>
  <si>
    <t>Ying, Loo Fung</t>
  </si>
  <si>
    <t>Proceedings of the 6th International Conference on Advanced High Strength Steel and Press Hardening (ICHSU 2022)</t>
  </si>
  <si>
    <t>Zhang, Yisheng</t>
  </si>
  <si>
    <t>Finland's Famous Education System : Unvarnished Insights into Finnish Schooling</t>
  </si>
  <si>
    <t>Thrupp, Martin</t>
  </si>
  <si>
    <t>Proceedings of the 2nd International Conference on Culture, Design and Social Development (CDSD 2022)</t>
  </si>
  <si>
    <t>M. Dom, Mohd Fauzi bin Sedon</t>
  </si>
  <si>
    <t>Digitale Literaturwissenschaft : DFG-Symposion 2017</t>
  </si>
  <si>
    <t>Jannidis, Fotis</t>
  </si>
  <si>
    <t>Ocean Governance : Knowledge Systems, Policy Foundations and Thematic Analyses</t>
  </si>
  <si>
    <t>Partelow, Stefan</t>
  </si>
  <si>
    <t>Islam, Justice, and Democracy</t>
  </si>
  <si>
    <t>Ciftci, Sabri</t>
  </si>
  <si>
    <t>20 More : Selected Stories from Drue Heinz Literature Prize Winners, 2001-2021</t>
  </si>
  <si>
    <t>University of Pittsburgh Press</t>
  </si>
  <si>
    <t>McCafferty, Jane</t>
  </si>
  <si>
    <t>Rolling Transitions and the Role of Intellectual : The Case of Hungary</t>
  </si>
  <si>
    <t>Bozóki, András</t>
  </si>
  <si>
    <t>Architecture and Politics in Africa : Making, Living and Imagining Identities Through Buildings</t>
  </si>
  <si>
    <t>Tomkinson, Joanne</t>
  </si>
  <si>
    <t>A Story of Conquest and Adventure : The Large Faramarzname</t>
  </si>
  <si>
    <t>van Zutphen, Marjolijn</t>
  </si>
  <si>
    <t>The Rise of the ni'matull. H. Order : Shi'ite Sufi Masters Against Islamic Fundamentalism in 19th-Century Persia</t>
  </si>
  <si>
    <t>Tabandeh, Reza</t>
  </si>
  <si>
    <t>Contested Sustainability : The Political Ecology of Conservation and Development in Tanzania</t>
  </si>
  <si>
    <t>Ponte, Stefano</t>
  </si>
  <si>
    <t>Reading the Juggler of Notre Dame : Medieval Miracles and Modern Remakings</t>
  </si>
  <si>
    <t>An Outline of Romanticism in the West</t>
  </si>
  <si>
    <t>Isbell, John Claiborne</t>
  </si>
  <si>
    <t>Anthropology of Transformation : From Europe to Asia and Back</t>
  </si>
  <si>
    <t>Buzalka, Juraj</t>
  </si>
  <si>
    <t>Life, Re-Scaled : The Biological Imagination in Twenty-First-Century Literature and Performance</t>
  </si>
  <si>
    <t>Campos, Liliane</t>
  </si>
  <si>
    <t>Sefer Ha-Pardes by Jedaiah Ha-Penini : A Critical Edition with English Translation</t>
  </si>
  <si>
    <t>Torollo, David</t>
  </si>
  <si>
    <t>Neo-Aramaic and Kurdish Folklore from Northern Iraq : A Comparative Anthology with a Sample of Glossed Texts, Volume 2</t>
  </si>
  <si>
    <t>The Merger Mystery : Why Spend Ever More on Mergers When So Many Fail?</t>
  </si>
  <si>
    <t>Meeks, Geoff</t>
  </si>
  <si>
    <t>'Fragile States' in an Unequal World : The Role of the G7+ in International Diplomacy and Development Cooperation</t>
  </si>
  <si>
    <t>de Siqueira, Isabel Rocha</t>
  </si>
  <si>
    <t>The Diaries of Anthony Hewitson, Provincial Journalist, Volume 1 : 1865-1887</t>
  </si>
  <si>
    <t>Neo-Aramaic and Kurdish Folklore from Northern Iraq : A Comparative Anthology with a Sample of Glossed Texts, Volume 1</t>
  </si>
  <si>
    <t>Women and Migration(s) II</t>
  </si>
  <si>
    <t>Brooks, Kalia</t>
  </si>
  <si>
    <t>Second Chance : My Life in Things</t>
  </si>
  <si>
    <t>Rosengarten, Ruth</t>
  </si>
  <si>
    <t>The Power of Music : An Exploration of the Evidence</t>
  </si>
  <si>
    <t>Hallam, Susan</t>
  </si>
  <si>
    <t>The Classical Parthenon : Recovering the Strangeness of the Ancient World</t>
  </si>
  <si>
    <t>The Official Indonesian Qurʾān Translation : The History and Politics of Al-Qur'an Dan Terjemahnya</t>
  </si>
  <si>
    <t>Lukman, Fadhli</t>
  </si>
  <si>
    <t>Diachronic Variation in the Omani Arabic Vernacular of the Al-ʿAwābī District : From Carl Reinhardt (1894) to the Present Day</t>
  </si>
  <si>
    <t>Morano, Roberta</t>
  </si>
  <si>
    <t>A Complete Guide to Maggot Therapy : Clinical Practice, Therapeutic Principles, Production, Distribution, and Ethics</t>
  </si>
  <si>
    <t>Stadler, Frank</t>
  </si>
  <si>
    <t>Fatigue and Peripheral Muscle Dysfunction: Studies on Vitamin d Status, Muscle Metabolism and Systemic Inflammation in Patients with COPD : Aspects of COPD Severity Beyond FEV1 and Exacerbations</t>
  </si>
  <si>
    <t>Kentson, Magnus</t>
  </si>
  <si>
    <t>Deep Learning for Digital Pathology in Limited Data Scenarios</t>
  </si>
  <si>
    <t>Stacke, Karin</t>
  </si>
  <si>
    <t>Early Life Environmental Risk Factors and Gut Microbiota in Juvenile Idiopathic Arthritis : - More Than a Gut Feeling</t>
  </si>
  <si>
    <t>Kindgren, Erik</t>
  </si>
  <si>
    <t>Living Biohybrid Systems Via in Vivo Polymerization of Thiophene Oligomers</t>
  </si>
  <si>
    <t>Dufil, Gwennaël</t>
  </si>
  <si>
    <t>Income and Fuel Price Elasticities of Car Use</t>
  </si>
  <si>
    <t>Berry, Carl</t>
  </si>
  <si>
    <t>Testosterone Analysis in Hair</t>
  </si>
  <si>
    <t>Preinbergs, Julia</t>
  </si>
  <si>
    <t>Neutron Reflectometry Studies of the Hydrated Structure of Polymer Thin Films</t>
  </si>
  <si>
    <t>Nagy, Béla</t>
  </si>
  <si>
    <t>What Makes a Patient Satisfied with Intrathecal Baclofen Treatment for Spasticity : Expectations and Experiences</t>
  </si>
  <si>
    <t>Gunnarsson, Stina</t>
  </si>
  <si>
    <t>Distortion and Subversion : Punk Rock Music and the Protests for Free Public Transportation in Brazil (1996-2011)</t>
  </si>
  <si>
    <t>Lopes de Barros, Rodrigo</t>
  </si>
  <si>
    <t>Surface-Controlled Chemical Vapor Deposition of Silicon Carbide</t>
  </si>
  <si>
    <t>Huang, Jing-Jia</t>
  </si>
  <si>
    <t>Performance and Security Analysis for GPU-Based Applications</t>
  </si>
  <si>
    <t>Horga, Adrian</t>
  </si>
  <si>
    <t>Boolean Complexes of Involutions and Smooth Intervals in Coxeter Groups</t>
  </si>
  <si>
    <t>Umutabazi, Vincent</t>
  </si>
  <si>
    <t>Identification of Nonlinear Marine Systems</t>
  </si>
  <si>
    <t>Ljungberg, Fredrik</t>
  </si>
  <si>
    <t>Advanced Surgeries, Medicines and Materials for Corneal Regeneration</t>
  </si>
  <si>
    <t>Xeroudaki, Maria</t>
  </si>
  <si>
    <t>Studies in the Masoretic Tradition of the Hebrew Bible</t>
  </si>
  <si>
    <t>Crowther, Daniel J.</t>
  </si>
  <si>
    <t>Route Attribution of Chemical Warfare Agents : Retrospective Classification of Unknown Threat Samples</t>
  </si>
  <si>
    <t>Höjer Holmgren, Karin</t>
  </si>
  <si>
    <t>Health Care Utilization among Young Adults in Primary and Emergency Health Care : The Need for Support, the Capacity to Support, and the Communication in Between</t>
  </si>
  <si>
    <t>Viktorsson, Lisa</t>
  </si>
  <si>
    <t>Network-Based Anomaly Detection for SCADA Systems : Traffic Generation and Modeling</t>
  </si>
  <si>
    <t>Lin, Chih-Yuan</t>
  </si>
  <si>
    <t>Studies on the Performance Bounds and Design of Current-Steering DACs</t>
  </si>
  <si>
    <t>Morales Chacón, Oscar</t>
  </si>
  <si>
    <t>Jag Vill Inte Höra! : Kognitiva Kontrollstrategier Gentemot Irrelevanta Ljud</t>
  </si>
  <si>
    <t>Kolbeinsson, Ö</t>
  </si>
  <si>
    <t>Clinical and Immunological Aspects of IgG Subclass Deficiency : Predictors for the Need of Immunoglobulin Replacement Therapy</t>
  </si>
  <si>
    <t>Wågström, Per</t>
  </si>
  <si>
    <t>Design Automation for Additive Manufacturing : A Multi-Disciplinary Optimization Approach</t>
  </si>
  <si>
    <t>Wiberg, Anton</t>
  </si>
  <si>
    <t>Designing a Modern Skeleton Programming Framework for Parallel and Heterogeneous Systems</t>
  </si>
  <si>
    <t>I Don't Want to Hear It : Cognitive Control Strategies in Response to Task-Irrelevant Sound</t>
  </si>
  <si>
    <t>Biomarkers in the Tumor Microenvironment with Impact on Treatment Response and Survival in Head and Neck Cancer</t>
  </si>
  <si>
    <t>Matić, Natasa</t>
  </si>
  <si>
    <t>Beyond Generative Sufficiency : On Interactions, Heterogeneity and Middle-Range Dynamics</t>
  </si>
  <si>
    <t>Arvidsson, Martin</t>
  </si>
  <si>
    <t>Cognition Seen Through the Eyes of Hearing Aid Users : Working Memory Resource Allocation for Speech Perception and Recall</t>
  </si>
  <si>
    <t>Micula, Andreea</t>
  </si>
  <si>
    <t>Metastable Orthorhombic Ta 3 N 5 Thin Films Grown by Magnetron Sputter Epitaxy</t>
  </si>
  <si>
    <t>Chang, Jui-Che</t>
  </si>
  <si>
    <t>Logistics Strategy for Building Contractors : Context, Content, and Process</t>
  </si>
  <si>
    <t>Haglund, Petter</t>
  </si>
  <si>
    <t>On Joint State Estimation and Model Learning Using Gaussian Process Approximations</t>
  </si>
  <si>
    <t>Kullberg, Anton</t>
  </si>
  <si>
    <t>Internal Dosimetry in Nuclear Fuel Fabrication : Occupational Exposure to Uranium Aerosols</t>
  </si>
  <si>
    <t>Hansson, Edvin</t>
  </si>
  <si>
    <t>Adult Education at Auction : On Tendering-Based Procurement and Valuation in Swedish Municipal Adult Education</t>
  </si>
  <si>
    <t>Holmqvist, Diana</t>
  </si>
  <si>
    <t>11 B 4 C Containing ni/Ti Neutron Multilayer Mirrors</t>
  </si>
  <si>
    <t>Broekhuijsen, Sjoerd</t>
  </si>
  <si>
    <t>Synthesis of Nanoporous Ca 3 Co 4 o 9 Thin Films for Flexible Thermoelectrics</t>
  </si>
  <si>
    <t>Initiating Original Equipment Manufacturer Remanufacturing</t>
  </si>
  <si>
    <t>Vogt Duberg, Johan</t>
  </si>
  <si>
    <t>Talking with Each Other : The Role of Language Environment Factors on Early Language Development from Different Perspectives</t>
  </si>
  <si>
    <t>Nyberg, Sandra</t>
  </si>
  <si>
    <t>Alloy Design and Characterization of &amp;gamma</t>
  </si>
  <si>
    <t>Cold Heart, Warm Heart : On Fiction, Interaction, and Emotion in Medical Education</t>
  </si>
  <si>
    <t>Rydén Gramner, Anja</t>
  </si>
  <si>
    <t>Studies on Design of near-Field Wireless-Powered Biphase Implantable Stimulators</t>
  </si>
  <si>
    <t>Kifle, Yonatan Habteslassie</t>
  </si>
  <si>
    <t>Decentralized Estimation Using Conservative Information Extraction</t>
  </si>
  <si>
    <t>Forsling, Robin</t>
  </si>
  <si>
    <t>Epitaxial Strategies for Defect Reduction in GaN for Vertical Power Devices</t>
  </si>
  <si>
    <t>Delgado Carrascon, Rosalia</t>
  </si>
  <si>
    <t>Internet-Based Cognitive Behavioural Therapy for Depression : Effects and Experiences among Patients with Cardiovascular Disease</t>
  </si>
  <si>
    <t>Westas, Mats</t>
  </si>
  <si>
    <t>Signal Processing Aspects of Massive MIMO</t>
  </si>
  <si>
    <t>Becirovic, Ema</t>
  </si>
  <si>
    <t>Exploring Change Toward Sustainability in Established Business Models</t>
  </si>
  <si>
    <t>Wahlman, Arvid</t>
  </si>
  <si>
    <t>Understanding and Supporting Product-Service System Designing : Preliminary Insights and Support for Designing Resource-Efficient and Effective Solutions</t>
  </si>
  <si>
    <t>Neramballi, Abhijna</t>
  </si>
  <si>
    <t>Accelerated Dirichlet-Robin Alternating Algorithm for Solving the Cauchy Problem for an Elliptic Equation Using Krylov Subspaces</t>
  </si>
  <si>
    <t>Chepkorir, Jennifer</t>
  </si>
  <si>
    <t>Developing Microscopic Traffic Simulation Models for the Transition Towards Automated Driving</t>
  </si>
  <si>
    <t>Postigo, Ivan</t>
  </si>
  <si>
    <t>Yrkesutbildning På Gränsen Mellan Skola Och Arbetsliv : En Intervjustudie Om Yrkeslärares Och Handledares Arbete Med Arbetsplatsförlagt Lärande</t>
  </si>
  <si>
    <t>Mårtensson, Åsa</t>
  </si>
  <si>
    <t>Greening Logistics : Implementation of Green Logistics Practices Through Interaction</t>
  </si>
  <si>
    <t>Simm, Niklas</t>
  </si>
  <si>
    <t>Materials and Devices for Stretchable Electronic Nerve Interfaces</t>
  </si>
  <si>
    <t>Lienemann, Samuel Lukas</t>
  </si>
  <si>
    <t>A Computational Venture into the Realm of Laminated Borides and Their 2D Derivatives</t>
  </si>
  <si>
    <t>Helmer, Pernilla</t>
  </si>
  <si>
    <t>Fatherhood Images and Ideals : Transforming, Circulating, and Responding to the Swedish Dads Photo Exhibition</t>
  </si>
  <si>
    <t>Mitchell, Sarah Jane</t>
  </si>
  <si>
    <t>Kulturstad/Stadskultur : Idéer Om Kulturens Värden I Malmös Stadsomvandling 1990-2012</t>
  </si>
  <si>
    <t>Möller, Per</t>
  </si>
  <si>
    <t>Resurstillväxt Via Innovationskapital</t>
  </si>
  <si>
    <t>Boström, Per Staffan</t>
  </si>
  <si>
    <t>Constitutive Modelling of an Additively Manufactured Alloy for Fatigue Lifing in High Temperature Applications</t>
  </si>
  <si>
    <t>Lindström, Thomas</t>
  </si>
  <si>
    <t>Control, Models and Industrial Manipulators</t>
  </si>
  <si>
    <t>Hedberg, Erik</t>
  </si>
  <si>
    <t>Mode Choice Modelling of Long-Distance Passenger Transport Based on Mobile Phone Network Data</t>
  </si>
  <si>
    <t>Andersson, Angelica</t>
  </si>
  <si>
    <t>Learning How to Recover from Stress-Related Disorders Via Internet-based Interventions</t>
  </si>
  <si>
    <t>Persson Asplund, Robert</t>
  </si>
  <si>
    <t>Internet-Based Treatment of Depression and Anxiety among Migrants and Refugees in Sweden</t>
  </si>
  <si>
    <t>Lindegaard, Tomas</t>
  </si>
  <si>
    <t>Women Giving Birth at an Advanced Age and Their Children : Obstetric and Neonatal Outcomes, Health and Social Support</t>
  </si>
  <si>
    <t>Lindell Pettersson, Malin</t>
  </si>
  <si>
    <t>Robust LIDAR-Based Localization in Underground Mines</t>
  </si>
  <si>
    <t>Nielsen, Kristin</t>
  </si>
  <si>
    <t>Fatigue Life Prediction of Additively Manufactured Ductile Nickel-Based Superalloys : Constitutive and Crack Initiation Modelling</t>
  </si>
  <si>
    <t>Entreprenöriell Förvaltning : Om Den Lokala Utvecklingspolitikens Förvaltningslogik</t>
  </si>
  <si>
    <t>Algotson, Albin</t>
  </si>
  <si>
    <t>Analysis of the Robin-Dirichlet Iterative Procedure for Solving the Cauchy Problem for Elliptic Equations with Extension to Unbounded Domains</t>
  </si>
  <si>
    <t>Achieng, Pauline</t>
  </si>
  <si>
    <t>Children Helping Children? : Values and Concerns in Corporate Charity</t>
  </si>
  <si>
    <t>Hrechaniuk, Yelyzaveta</t>
  </si>
  <si>
    <t>Innovating Innovation : Understanding the Role of Service Design in Service Innovation</t>
  </si>
  <si>
    <t>Kustrak Korper, Ana</t>
  </si>
  <si>
    <t>Performance Analysis in Wireless HetNets: Traffic, Energy, and Secrecy Considerations</t>
  </si>
  <si>
    <t>Smpokos, Georgios</t>
  </si>
  <si>
    <t>Från Monolog till Dialog : Integration Av Nyanlända Familjer I Landsbygdsförskolor</t>
  </si>
  <si>
    <t>Löthman, Charlotte</t>
  </si>
  <si>
    <t>Phase Formation in Multicomponent Films Based on 3d Transition Metals</t>
  </si>
  <si>
    <t>Gangaprasad Rao, Smita</t>
  </si>
  <si>
    <t>Thermal Conductivity of Al X Ga 1-X N and &amp;beta</t>
  </si>
  <si>
    <t>Edge Precoloring Extension of Trees</t>
  </si>
  <si>
    <t>Petros, Fikre Bogale</t>
  </si>
  <si>
    <t>In What Way Is It Sustainable? : Developing a Multi-Criteria Method for Sustainability Assessment of Socio-technical Systems</t>
  </si>
  <si>
    <t>Lindfors, Axel</t>
  </si>
  <si>
    <t>CO 2 Emissions from Northern Lakes : Insights on Regulation and Spatiotemporal Variability Across Contrasting Lakes in Sweden</t>
  </si>
  <si>
    <t>Rudberg, David</t>
  </si>
  <si>
    <t>Sociotechnical Imaginaries of the Automated Municipality</t>
  </si>
  <si>
    <t>Toll, Daniel</t>
  </si>
  <si>
    <t>Morphisms of Real Calculi from a Geometric and Algebraic Perspective</t>
  </si>
  <si>
    <t>Tiger Norkvist, Axel</t>
  </si>
  <si>
    <t>Skriftspråkliga Handlingar I Förskoleklass Och årskurs 1</t>
  </si>
  <si>
    <t>Aminoff, Christina</t>
  </si>
  <si>
    <t>On Uncertainty Quantification in Neural Networks: Ensemble Distillation and Weak Supervision</t>
  </si>
  <si>
    <t>Olmin, Amanda</t>
  </si>
  <si>
    <t>Exploring Data-Driven Methods to Enhance Usability of Design Optimization</t>
  </si>
  <si>
    <t>Gustafsson, Erik</t>
  </si>
  <si>
    <t>Time-Optimal Cooperative Path Tracking for Multi-Robot Systems</t>
  </si>
  <si>
    <t>Haghshenas, Hamed</t>
  </si>
  <si>
    <t>Decomposition Methods for Combinatorial Optimization</t>
  </si>
  <si>
    <t>Ngulo, Uledi</t>
  </si>
  <si>
    <t>Construction Transport Efficiency from the Perspective of Main Contractor and Transporter</t>
  </si>
  <si>
    <t>Naz, Farah</t>
  </si>
  <si>
    <t>Decomposing the Option Pricing Problem : Estimating the Causal Factors: Interest Rates, Dividends, and Risk-Neutral Probabilities</t>
  </si>
  <si>
    <t>Söderbäck, Pontus</t>
  </si>
  <si>
    <t>Grundskoleelevers Design I Lärande : En Studie Om lärprocesser I Programmering</t>
  </si>
  <si>
    <t>Sparf, Maria</t>
  </si>
  <si>
    <t>Towards the Control of Microplastic Pollution in Urban Waters</t>
  </si>
  <si>
    <t>Fältström, Emma</t>
  </si>
  <si>
    <t>Economics of Landfill Mining : Usefulness and Validity of Different Assessment Approaches</t>
  </si>
  <si>
    <t>Handling Demand-Capacity Imbalances in Aerial Vehicle Traffic</t>
  </si>
  <si>
    <t>Sedov, Leonid</t>
  </si>
  <si>
    <t>Residual Analysis in the GMANOVA-MANOVA Model</t>
  </si>
  <si>
    <t>Byukusenge, Béatrice</t>
  </si>
  <si>
    <t>Exploring Localisation of the Sustainable Development Goals : Focusing on Municipal Organisations in a Swedish Context</t>
  </si>
  <si>
    <t>Krantz, Venus</t>
  </si>
  <si>
    <t>Datorplattor I En förskolekontext : Med Fokus På Teknikundervisning inklusive Programmering</t>
  </si>
  <si>
    <t>Otterborn, Anna</t>
  </si>
  <si>
    <t>Beware of Non-Supportive Leaders : Moderating Effects of Supportive Leadership on the Risks and Effects of Workplace Bullying</t>
  </si>
  <si>
    <t>Blomberg, Stefan</t>
  </si>
  <si>
    <t>A Divided Old Age Through Research on Digital Technologies</t>
  </si>
  <si>
    <t>Poli, Arianna</t>
  </si>
  <si>
    <t>Distributed Massive MIMO : Random Access, Extreme Multiplexing and Synchronization</t>
  </si>
  <si>
    <t>Kunnath Ganesan, Unnikrishnan</t>
  </si>
  <si>
    <t>Oxycodone in Forensic Toxicology : Analytical Strategies and Interpretation</t>
  </si>
  <si>
    <t>Jakobsson, Gerd</t>
  </si>
  <si>
    <t>Formal Verification of Tree Ensembles in Safety-Critical Applications</t>
  </si>
  <si>
    <t>Törnblom, John</t>
  </si>
  <si>
    <t>An Ontological and Reasoning Approach to System of Systems</t>
  </si>
  <si>
    <t>Knöös Franzén, Ludvig</t>
  </si>
  <si>
    <t>Analysis of Cellular and Cell-Free Massive MIMO with Rician Fading</t>
  </si>
  <si>
    <t>Physical Layer Security Issues in Massive MIMO and GNSS</t>
  </si>
  <si>
    <t>Gülgün, Ziya</t>
  </si>
  <si>
    <t>Hardening of Carbon Steel by Water Impinging Jet Quenching Technique : Differential Cooling of Steel Sheets and Quenching of Cylindrical Bars</t>
  </si>
  <si>
    <t>Romanov, Pavel</t>
  </si>
  <si>
    <t>Childhood Functional Constipation : Parents' Everyday Life Experiences</t>
  </si>
  <si>
    <t>Flankegård, Gunilla</t>
  </si>
  <si>
    <t>Methane Dynamics in Northern Lakes : Insights from Multi-Scale Observations</t>
  </si>
  <si>
    <t>Schenk, Jonathan</t>
  </si>
  <si>
    <t>Borehole Thermal Energy Storage Systems for Storage of Industrial Excess Heat : Performance Evaluation and Modelling</t>
  </si>
  <si>
    <t>Nilsson, Emil</t>
  </si>
  <si>
    <t>Multifunctional Transition Metal Diboride Thin Films Grown by Magnetron Sputtering with Metal-Ion Irradiation</t>
  </si>
  <si>
    <t>Bakhit, Babak</t>
  </si>
  <si>
    <t>Governing Climate Change under the Paris Regime : Meeting Urgency with Voluntarism</t>
  </si>
  <si>
    <t>Jernnäs, Maria</t>
  </si>
  <si>
    <t>Exploring Tampering : Towards an Understanding of Why Improvement Efforts Sometimes Fail</t>
  </si>
  <si>
    <t>Smeds, Magdalena</t>
  </si>
  <si>
    <t>Sustainability Solutions : Lessons on Assessment and Facilitation</t>
  </si>
  <si>
    <t>P-Type and Polarization Doping of GaN in Hot-wall MOCVD</t>
  </si>
  <si>
    <t>Papamichail, Alexis</t>
  </si>
  <si>
    <t>Auditory Distraction in ADHD : From Behaviour to the Brain</t>
  </si>
  <si>
    <t>Blomberg, Rina</t>
  </si>
  <si>
    <t>Product-Service System Designing for Environmental Sustainability : Insights into Design Cognition of Experienced Product Developers</t>
  </si>
  <si>
    <t>Computational Prediction of Novel MAB Phases</t>
  </si>
  <si>
    <t>Carlsson, Adam</t>
  </si>
  <si>
    <t>Anisotropic Mechanical Behaviors and Microstructural Evolution of Thin-Walled Additively Manufactured Metals</t>
  </si>
  <si>
    <t>On Aircraft Simulation in Conceptual Design</t>
  </si>
  <si>
    <t>Oprea, Alexandra</t>
  </si>
  <si>
    <t>Lokal Demokrati På Distans : Vem Tar Ordet När Fullmäktige Blir Digitala?</t>
  </si>
  <si>
    <t>Garcia, Fredrik</t>
  </si>
  <si>
    <t>Deep Brain Stimulation Atlases in Movement Disorders : From Patient-Specific to Group Analysis</t>
  </si>
  <si>
    <t>Vogel, Dorian</t>
  </si>
  <si>
    <t>On Configuration Systems in Product Development for Mass Customisation</t>
  </si>
  <si>
    <t>Poot, Leon Peter</t>
  </si>
  <si>
    <t>Smooth Schubert Varieties and Boolean Complexes of Involutions</t>
  </si>
  <si>
    <t>Är Han en Jätte, Nej Han är Liten, en Bebis : Ålderskategorisering I Förskolan</t>
  </si>
  <si>
    <t>Häll, Linda</t>
  </si>
  <si>
    <t>Synthetic Data for Visual Machine Learning : A Data-Centric Approach</t>
  </si>
  <si>
    <t>Tsirikoglou, Apostolia</t>
  </si>
  <si>
    <t>Creating Value from Bio-Residuals : Biogas Solutions for Biobased Industries in Scandinavia</t>
  </si>
  <si>
    <t>Hagman, Linda</t>
  </si>
  <si>
    <t>Calibration of Urban Network Capacities</t>
  </si>
  <si>
    <t>Wei, Guang</t>
  </si>
  <si>
    <t>Internet-Based Interventions for Loneliness : Efficacy and Latent Psychopathological Profiles of Treatment Seekers</t>
  </si>
  <si>
    <t>Käll, Anton</t>
  </si>
  <si>
    <t>Disturbances in Food Webs : Importance of Species Interactions from an Ecological and Evolutionary Perspective</t>
  </si>
  <si>
    <t>Åkesson, Anna</t>
  </si>
  <si>
    <t>Shapeshifting Nature : Ambivalent Ways of Seeing the Non-Human World Within Swedish National Park Tourism and Its Visual Culture</t>
  </si>
  <si>
    <t>Fälton, Emelie</t>
  </si>
  <si>
    <t>Data-Driven Classification in Road Networks</t>
  </si>
  <si>
    <t>Stromann, Oliver</t>
  </si>
  <si>
    <t>Misclassification Probabilities Through Edgeworth-Type Expansion for the Distribution of the Maximum Likelihood Based Discriminant Function</t>
  </si>
  <si>
    <t>Umunoza Gasana, Emelyne</t>
  </si>
  <si>
    <t>Synthetic Functionalities for Ion and Electron Conductive Polymers : Applications in Organic Electronics and Biological Interfaces</t>
  </si>
  <si>
    <t>Abrahamsson, Tobias</t>
  </si>
  <si>
    <t>Att Möjliggöra Tekniklärande I Konstruktionsaktiviteter : En Aktionsforskningsstudie I Förskolan</t>
  </si>
  <si>
    <t>Boström, Johan</t>
  </si>
  <si>
    <t>The Auditor : Creating a Concept of the Auditor Through Auditors' Own Perceptions and Understandings of Their Work in Relation to Boundary-Setting Forces</t>
  </si>
  <si>
    <t>Gertsson, Nellie</t>
  </si>
  <si>
    <t>On Complexity Certification of Active-Set QP Methods with Applications to Linear MPC</t>
  </si>
  <si>
    <t>Arnström, Daniel</t>
  </si>
  <si>
    <t>Proactive Primary Care for Older Adults at High Risk of Hospital Admission</t>
  </si>
  <si>
    <t>Nord, Magnus</t>
  </si>
  <si>
    <t>The Roots Grow Deep: Strong yet Changeable : Social Norms and Working Life</t>
  </si>
  <si>
    <t>Norvell Gustavsson, Isa</t>
  </si>
  <si>
    <t>Novel Methods for Sampling, Characterization and Analysis of Airborne Street Particles in a Health Perspective</t>
  </si>
  <si>
    <t>Nosratabadi, Ali Reza</t>
  </si>
  <si>
    <t>Nonstoichiometric Multicomponent Nitride Thin Films</t>
  </si>
  <si>
    <t>Hot-Wall MOCVD of N-polar Group-III Nitride Materials</t>
  </si>
  <si>
    <t>Real-Time Visual Analytics Interfaces to Strengthen Human-Automation Collaboration</t>
  </si>
  <si>
    <t>Zohrevandi, Elmira</t>
  </si>
  <si>
    <t>Antecedents and Consequences of Gossip : A Social Network Approach</t>
  </si>
  <si>
    <t>Estévez, José Luis</t>
  </si>
  <si>
    <t>Coachande Nätbaserade Samtal Om Matematik : En Studie Om Hur Matematikcoacher Stöttar Elever Vid Problemlösning</t>
  </si>
  <si>
    <t>Sundström, Pether</t>
  </si>
  <si>
    <t>Arrhythmogenic Right Ventricular Cardiomyopathy : Genetic and Electrocardiographic Aspects on Risk of Ventricular Arrhythmia and Diagnosis</t>
  </si>
  <si>
    <t>Svensson, Anneli</t>
  </si>
  <si>
    <t>Digital Transformation for Crisis Volunteerism : A Study in the Aftermath of the Swedish Forest Fires Crisis In 2018</t>
  </si>
  <si>
    <t>Murphy, Maria</t>
  </si>
  <si>
    <t>Decision Models for the Procurement of Subsidised Air Services</t>
  </si>
  <si>
    <t>Kinene, Alan</t>
  </si>
  <si>
    <t>Evaluating the Utilisation of Industrial Excess Heat from an Energy Systems Perspective</t>
  </si>
  <si>
    <t>Cruz, Igor</t>
  </si>
  <si>
    <t>The Problem of Formulating Design Problems : A Typology of Design Briefs</t>
  </si>
  <si>
    <t>Ruiz Muñoz, Juan Felipe</t>
  </si>
  <si>
    <t>Moral Illusions</t>
  </si>
  <si>
    <t>Latency-Aware Resource Management at the Edge</t>
  </si>
  <si>
    <t>Toczé, Klervie</t>
  </si>
  <si>
    <t>Models for the Procurement of Subsidized Air Services : Conventional Aircraft and the Adoption of Electric Aircraft</t>
  </si>
  <si>
    <t>Estimation of Nonlinear Greybox Models for Marine Applications</t>
  </si>
  <si>
    <t>Topology Optimization for Additive Manufacturing Involving High-Cycle Fatigue</t>
  </si>
  <si>
    <t>Suresh, Shyam</t>
  </si>
  <si>
    <t>Uncertainties in Neural Networks : A System Identification Approach</t>
  </si>
  <si>
    <t>Malmström, Magnus</t>
  </si>
  <si>
    <t>High-Temperature Fatigue in a Steam Turbine Steel : Modelling of Cyclic Deformation and Crack Closure</t>
  </si>
  <si>
    <t>Azeez, Ahmed</t>
  </si>
  <si>
    <t>A Timing Approach to Network-Based Anomaly Detection for SCADA Systems</t>
  </si>
  <si>
    <t>Catalytically Active and Corrosion Resistant Cobalt-Based Thin Films</t>
  </si>
  <si>
    <t>Linder, Clara</t>
  </si>
  <si>
    <t>Modelling of TMF Crack Growth in Polycrystalline Gas Turbine Alloys : Accounting for Crack Closure Effects</t>
  </si>
  <si>
    <t>Loureiro-Homs, Jordi</t>
  </si>
  <si>
    <t>Free to Choose? : Studies of Opportunity Constraints and the Dynamics of School Segregation</t>
  </si>
  <si>
    <t>Mutgan, Selcan</t>
  </si>
  <si>
    <t>A Few-Mode-Fiber Platform for Quantum Communication Applications</t>
  </si>
  <si>
    <t>Alarcón Cuevas, Alvaro</t>
  </si>
  <si>
    <t>Being Cared for in an Intensive Care Unit - Family Functioning and Support</t>
  </si>
  <si>
    <t>Ahlberg, Mona</t>
  </si>
  <si>
    <t>Optimal Control for Energy Efficient Vehicle Propulsion : Methodology, Application, and Tools</t>
  </si>
  <si>
    <t>Leek, Viktor</t>
  </si>
  <si>
    <t>Neurocognitive Foundations of Child and Adult Number Processing : Neural Correlates and Functional Circuits Across Typical Development</t>
  </si>
  <si>
    <t>Skagenholt, Mikael</t>
  </si>
  <si>
    <t>Mind Your Own Business : Understanding and Characterizing Value Created by Consumers in a Digital Economy</t>
  </si>
  <si>
    <t>Mileros, Martin Daniel</t>
  </si>
  <si>
    <t>Fluid Power Pumps and the Electrification : With a Focus on Discrete Displacement Control in Load Handling Applications</t>
  </si>
  <si>
    <t>Interaction and Language Assessment in Aphasia and Dementia : A Comparative Perspective</t>
  </si>
  <si>
    <t>Myrberg, Karin</t>
  </si>
  <si>
    <t>A Composable and Extensible Environment for Equation-Based Modeling and Simulation of Variable Structured Systems in Modelica</t>
  </si>
  <si>
    <t>Tinnerholm, John</t>
  </si>
  <si>
    <t>Cell-Free Massive MIMO: Distributed Signal Processing and Energy Efficiency</t>
  </si>
  <si>
    <t>Shaik, Zakir Hussain</t>
  </si>
  <si>
    <t>Can We Go Circular? : On the Multifaceted Challenges of Facilitating Shredder Fines Valorisation in the Swedish Context</t>
  </si>
  <si>
    <t>Gunaratne, Tharaka</t>
  </si>
  <si>
    <t>On Landmark Densities in Minimum-Uncertainty Motion Planning</t>
  </si>
  <si>
    <t>Nordlöf, Jonas</t>
  </si>
  <si>
    <t>Large Deviations of Condition Numbers of Random Matrices</t>
  </si>
  <si>
    <t>Uwamariya, Denise</t>
  </si>
  <si>
    <t>Promises and Pitfalls of Value-Based Reimbursement in Healthcare : A Mixed Method Health Economic Approach</t>
  </si>
  <si>
    <t>Eriksson, Thérèse</t>
  </si>
  <si>
    <t>Residual Stress in Additive Manufacturing : Control Using Orientation and Scan Strategies</t>
  </si>
  <si>
    <t>Pant, Prabhat</t>
  </si>
  <si>
    <t>Exploring the Invisible : Finding Structure in Scientific Data</t>
  </si>
  <si>
    <t>Engelke, Wito</t>
  </si>
  <si>
    <t>Digital Twins : High Resolution Disease Models for Optimized Diagnosis and Treatment</t>
  </si>
  <si>
    <t>Lilja, Sandra</t>
  </si>
  <si>
    <t>From Fossil to Fact : The Denisova Discovery As Science in Action</t>
  </si>
  <si>
    <t>Karlsson, Mattis</t>
  </si>
  <si>
    <t>Valorisation of Heterogeneous Industrial Residues Towards a Circular Economy : A Systems-Oriented Investigation on How to Facilitate Shredder Fines Valorisation in the Swedish Context</t>
  </si>
  <si>
    <t>Developing Internet Interventions to Improve Psychosocial Outcomes in Breast Cancer Survivors : Attitudes and Practices in Portuguese Cancer Settings</t>
  </si>
  <si>
    <t>Mendes Santos, Cristina</t>
  </si>
  <si>
    <t>Residual Stress Distributions in Additively Manufactured Parts : Effect of Build Orientation</t>
  </si>
  <si>
    <t>Optimization-Based Configurators in the Product Development Process</t>
  </si>
  <si>
    <t>Wehlin, Camilla</t>
  </si>
  <si>
    <t>Lärares Transformering Av Teknikämnet : Om lärares Attityder till ämnet Och Syn På Teknisk Kunskap I Teknikundervisningen</t>
  </si>
  <si>
    <t>Nordlöf, Charlotta</t>
  </si>
  <si>
    <t>Discrimination in Hiring : Some Experiments, Perspectives, and Implications</t>
  </si>
  <si>
    <t>Granberg, Mark</t>
  </si>
  <si>
    <t>Norms in Prosocial Decisions : The Role of Observability, Avoidance, and Conditionality</t>
  </si>
  <si>
    <t>Andersson, Per A.</t>
  </si>
  <si>
    <t>Care for the Caregiver : Internet Intervention for Informal Caregivers in Lithuania</t>
  </si>
  <si>
    <t>Biliunaite, Ieva</t>
  </si>
  <si>
    <t>Quality Problems in Swedish Municipal Adult Education : The Micropolitics of Quality Construed in the Audit Society</t>
  </si>
  <si>
    <t>Mufic, Johanna</t>
  </si>
  <si>
    <t>Modelling of Failure in High Strength Steel Sheets</t>
  </si>
  <si>
    <t>Björklund, Oscar</t>
  </si>
  <si>
    <t>Förnyelse Med Förhinder : Den Riksdagspolitiska Debatten Om Omställningen Av Energisystemet 1980-2010</t>
  </si>
  <si>
    <t>Kall, Ann-Sofie</t>
  </si>
  <si>
    <t>Interaction Studies in Complex Fluids with Optical Biosensors</t>
  </si>
  <si>
    <t>Carlsson, Jenny</t>
  </si>
  <si>
    <t>The Sleep of the Child - the Parent's Stressor? : A Study Within the ABIS Project</t>
  </si>
  <si>
    <t>Palmstierna, Peder</t>
  </si>
  <si>
    <t>Adults with Cerebral Palsy : Living with a Lifelong Disability</t>
  </si>
  <si>
    <t>Sandström, Karin</t>
  </si>
  <si>
    <t>Psychoactive Prescription Drug Use Disorders, Misuse and Abuse : Pharmacoepidemiological Aspects</t>
  </si>
  <si>
    <t>Tjäderborn, Micaela</t>
  </si>
  <si>
    <t>From Family Language Practices to Family Language Policies : Children As Socializing Agents</t>
  </si>
  <si>
    <t>Kheirkhah, Mina</t>
  </si>
  <si>
    <t>Self Assembled Monolayers for Quartz Crystal Microbalance Based Biosensing</t>
  </si>
  <si>
    <t>Myrskog, Annica</t>
  </si>
  <si>
    <t>Mutational Effects on Protein Structure and Function</t>
  </si>
  <si>
    <t>Carlsson, Jonas</t>
  </si>
  <si>
    <t>The Dynamics of Innovation and Knowledge-Based Regional Development</t>
  </si>
  <si>
    <t>Svensson, Peter</t>
  </si>
  <si>
    <t>Network Analysis and Optimization of Animal Transports</t>
  </si>
  <si>
    <t>Håkansson, Nina</t>
  </si>
  <si>
    <t>Kvalitetsproblem I Svensk Vuxenutbildning : Hur Kvalitetens Mikropolitik Konstrueras I Granskningssamhället</t>
  </si>
  <si>
    <t>A World Without Hunger : Josué de Castro and the History of Geography</t>
  </si>
  <si>
    <t>Davies, Archie</t>
  </si>
  <si>
    <t>The Bible in the Bowls : A Catalogue of Biblical Quotations in Published Jewish Babylonian Aramaic Magic Bowls</t>
  </si>
  <si>
    <t>Waller, Daniel James</t>
  </si>
  <si>
    <t>Engaging with Everyday Sounds</t>
  </si>
  <si>
    <t>Cobussen, Marcel</t>
  </si>
  <si>
    <t>Flavian Responses to Nero's Rome</t>
  </si>
  <si>
    <t>Heerink, Mark</t>
  </si>
  <si>
    <t>Local Self-Governance in Antiquity and in the Global South : Theoretical and Empirical Insights from an Interdisciplinary Perspective</t>
  </si>
  <si>
    <t>Krüger, Dominique</t>
  </si>
  <si>
    <t>Natur und Kunst Bei Claudian : Poetische &amp;rsaquo</t>
  </si>
  <si>
    <t>Mobility Design : Die Zukunft der Mobilität Gestalten Band 1: Praxis</t>
  </si>
  <si>
    <t>Vöckler, Kai</t>
  </si>
  <si>
    <t>Deskription und Metapoetik in der Spätantiken Lateinischen Dichtung : Untersuchungen Zur Literarischen Beschreibung Bei Claudian, Prudenz und Ausonius</t>
  </si>
  <si>
    <t>Schmieder, Leon</t>
  </si>
  <si>
    <t>Trans Cinema and Its Exit Scapes : A Transfeminist Reading of Utopian Sensibility and Gender Dissidence in Contemporary Film</t>
  </si>
  <si>
    <t>Straube, Wibke</t>
  </si>
  <si>
    <t>Teaching and Learning Concurrent Programming in the Shared Memory Model</t>
  </si>
  <si>
    <t>Strömbäck, Filip</t>
  </si>
  <si>
    <t>Towards a Framework for Production Strategy in Construction</t>
  </si>
  <si>
    <t>Recognition of Prior Learning in Health Care : From a Caring Ideology and Power, to Communicative Action and Recognition</t>
  </si>
  <si>
    <t>Sandberg, Fredrik</t>
  </si>
  <si>
    <t>A Theoretical Study of Charge Transport in Molecular Crystals</t>
  </si>
  <si>
    <t>Mozafari, Elham</t>
  </si>
  <si>
    <t>Risk Factors for Injury in Men´s Professional Football</t>
  </si>
  <si>
    <t>Kristenson, Karolina</t>
  </si>
  <si>
    <t>Grinding Effects on Surface Integrity, Flexural Strength and Contact Damage Resistance of Coated Hardmetals</t>
  </si>
  <si>
    <t>Yang, Jing</t>
  </si>
  <si>
    <t>Synthesis of ZnO, CuO and Their Composite Nanostructures for Optoelectronics, Sensing and Catalytic Applications</t>
  </si>
  <si>
    <t>Zaman, Saima</t>
  </si>
  <si>
    <t>The Dose-Dependent Effects of Estrogens on Ischemic Stroke</t>
  </si>
  <si>
    <t>Ström, Jakob</t>
  </si>
  <si>
    <t>Conditions for Resource-Efficient Production of Biofuels for Transport in Sweden</t>
  </si>
  <si>
    <t>Ersson, Carolina</t>
  </si>
  <si>
    <t>Fluid Power Systems for Mobile Applications : With a Focus on Energy Efficiency and Dynamic Characteristics</t>
  </si>
  <si>
    <t>A Study on Emerging Electronics for Systems Accepting Soft Errors</t>
  </si>
  <si>
    <t>Alvbrant, Joakim</t>
  </si>
  <si>
    <t>Sounds of Silence : Phonological Awareness and Written Language in Children with and Without Speech</t>
  </si>
  <si>
    <t>Ferreira, Janna</t>
  </si>
  <si>
    <t>Hand Function in Patients with Dupuytren's Disease : Assessment, Results and Patients' Perspectives</t>
  </si>
  <si>
    <t>Engstrand, Christina</t>
  </si>
  <si>
    <t>Pharmacogenetic Studies in Childhood Acute Lymphoblastic Leukaemia with Primary Focus on Methotrexate</t>
  </si>
  <si>
    <t>Gregers, Jannie</t>
  </si>
  <si>
    <t>New Forms of Collaboration in Emergency Response Systems : A Framework for Participatory Design of Information Systems</t>
  </si>
  <si>
    <t>Signal Processing Aspects of Cell-Free Massive MIMO</t>
  </si>
  <si>
    <t>Space and Sensibility : Young Men's Risk-Taking with Motor Vehicles</t>
  </si>
  <si>
    <t>Joelsson, Tanja</t>
  </si>
  <si>
    <t>ZrN Based Nanostructured Hard Coatings : Structure-Property Relationship</t>
  </si>
  <si>
    <t>Yalamanchili, Phani Kumar</t>
  </si>
  <si>
    <t>Nonlinear and Nonparametric Dynamical Methods in Economics and Finance</t>
  </si>
  <si>
    <t>Uddin, Gazi Salah</t>
  </si>
  <si>
    <t>Fatigue of Heavy-Vehicle Engine Materials : Experimental Analysis and Life Estimation</t>
  </si>
  <si>
    <t>Diagnosability Analysis and FDI System Design for Uncertain Systems</t>
  </si>
  <si>
    <t>Eriksson, Daniel</t>
  </si>
  <si>
    <t>Synthesis and Characterization of Ga-Containing MAX Phase Thin Films</t>
  </si>
  <si>
    <t>On Fluid Power Pump and Motor Design : Tools for Noise Reduction</t>
  </si>
  <si>
    <t>Ericson, Liselott</t>
  </si>
  <si>
    <t>Metal Film Growth on Weakly-Interacting Substrates : Stochastic Simulations and Analytical Modelling</t>
  </si>
  <si>
    <t>On Pose Estimation in Room-Scaled Environments</t>
  </si>
  <si>
    <t>Nyqvist, Hanna E.</t>
  </si>
  <si>
    <t>Supply Chain Coordination Using Optimal Transfer Pricing to Balance Co- and Byproduct Demand Within a Process Industry</t>
  </si>
  <si>
    <t>Kylinger, Martin</t>
  </si>
  <si>
    <t>Introducing New Materials in the Automotive Industry : Managing the Complexity of Introducing New Materials in Existing Production Systems</t>
  </si>
  <si>
    <t>Electrochemical Reduction of Protons and Organic Molecules in Hydrogen Technologies : Liquid Organic Hydrogen Carrier and Hydrogen Evolution</t>
  </si>
  <si>
    <t>Ghorbani Shiraz, Hamid</t>
  </si>
  <si>
    <t>Knowledge Based Integrated Multidisciplinary Aircraft Conceptual Design</t>
  </si>
  <si>
    <t>Munjulury, Venkata Raghu Chaitanya</t>
  </si>
  <si>
    <t>Sol-Gel Glasses Doped with Pt-Acetylides and Gold Nanoparticles for Enhanced Optical Power Limiting</t>
  </si>
  <si>
    <t>Priority Setting and Rationing in Primary Health Care</t>
  </si>
  <si>
    <t>Arvidsson, Eva</t>
  </si>
  <si>
    <t>Doing Language Policy : A Micro-Interactional Study of Policy Practices in English As a Foreign Language Classes</t>
  </si>
  <si>
    <t>Amir, Alia</t>
  </si>
  <si>
    <t>Essays on Manufacturing-Related Management Accounting</t>
  </si>
  <si>
    <t>Myrelid, Andreas</t>
  </si>
  <si>
    <t>Autonomous Localization in Unknown Environments</t>
  </si>
  <si>
    <t>Callmer, Jonas</t>
  </si>
  <si>
    <t>Charge Transport Simulations for Organic Electronics : A Kinetic Monte Carlo Approach</t>
  </si>
  <si>
    <t>Volpi, Riccardo</t>
  </si>
  <si>
    <t>Group 11-14 Triazenides : Synthesis, Characterization, and Thermal Evaluation for Use in Chemical Vapor Deposition</t>
  </si>
  <si>
    <t>Samii, Rouzbeh</t>
  </si>
  <si>
    <t>Pulse-Width Modulated RF Transmitters</t>
  </si>
  <si>
    <t>Haque, Muhammad Fahim Ul</t>
  </si>
  <si>
    <t>Fast and Accurate 4D Flow MRI for Cardiovascular Blood Flow Assessment</t>
  </si>
  <si>
    <t>Petersson, Sven</t>
  </si>
  <si>
    <t>Thin Film Growth Using Pulsed and Highly Ionized Vapor Fluxes</t>
  </si>
  <si>
    <t>To Include or Not to Include : Teachers' Social Representations of Inclusion of Students with Asperger Syndrome</t>
  </si>
  <si>
    <t>Linton, Ann-Charlotte</t>
  </si>
  <si>
    <t>Fundamental Processes in Thin Film Growth : The Origin of Compressive Stress and the Dynamics of the Early Growth Stages</t>
  </si>
  <si>
    <t>Magnfält, Daniel</t>
  </si>
  <si>
    <t>Development of Molecular Dynamics Methodology for Simulations of Hard Materials</t>
  </si>
  <si>
    <t>Steneteg, Peter</t>
  </si>
  <si>
    <t>Modelling Charge Transport for Organic Solar Cells Within Marcus Theory</t>
  </si>
  <si>
    <t>Multifunctional Biomimetic Scaffolds Tailored for Cardiac Regeneration</t>
  </si>
  <si>
    <t>Wickham, Abeni</t>
  </si>
  <si>
    <t>Few Particle Effects in Pyramidal Quantum Dots - a Spectroscopic Study</t>
  </si>
  <si>
    <t>Dufåker, Daniel</t>
  </si>
  <si>
    <t>Förskolans Pedagogiska Praktik Som Interaktion : Frågor Och Svar I Vardagliga Förskoleaktiviteter</t>
  </si>
  <si>
    <t>Ductile Failure in High Strength Steel Sheets</t>
  </si>
  <si>
    <t>Optical Devices and Methods for Distributed Lab-On-a-chip Analyses</t>
  </si>
  <si>
    <t>Preechaburana, Pakorn</t>
  </si>
  <si>
    <t>Evidence in Practice : On Knowledge Use and Learning in Social Work</t>
  </si>
  <si>
    <t>Avby, Gunilla</t>
  </si>
  <si>
    <t>Premature Discharge from Intensive Care with Special Reference to Night-Time Discharge and Capacity Transfers</t>
  </si>
  <si>
    <t>Parenmark, Fredric</t>
  </si>
  <si>
    <t>Stress : Clinical and Developmental Aspects of Salivary Cortisol in Infants</t>
  </si>
  <si>
    <t>Ivars, Katrin</t>
  </si>
  <si>
    <t>Sulfonated Cellulose Membranes for Energy Storage Applications</t>
  </si>
  <si>
    <t>Lander, Sanna</t>
  </si>
  <si>
    <t>Reversible Modifications of Chloroplast Proteins and Assessment of Their Functions</t>
  </si>
  <si>
    <t>Ingelsson, Bjö</t>
  </si>
  <si>
    <t>Computational Terminology : Exploring Bilingual and Monolingual Term Extraction</t>
  </si>
  <si>
    <t>Foo, Jody</t>
  </si>
  <si>
    <t>Central Nervous System and Innate Immune Mechanisms for Inflammation- and Cancer-Induced Anorexia</t>
  </si>
  <si>
    <t>Ruud, Johan</t>
  </si>
  <si>
    <t>On Systems Thinking in Logistics Management - a Critical Perspective</t>
  </si>
  <si>
    <t>Lindskog, Magnus</t>
  </si>
  <si>
    <t>Cobalt and Nickel Bioavailability for Biogas Formation</t>
  </si>
  <si>
    <t>Gustavsson, Jenny</t>
  </si>
  <si>
    <t>Thin Film Synthesis and Characterization of New MAX Phase Alloys</t>
  </si>
  <si>
    <t>Mockutė, Aurelija</t>
  </si>
  <si>
    <t>Theoretical and Empirical Accounts of Swedish Financial Supervision in the Twentieth Century</t>
  </si>
  <si>
    <t>Kärlek I Virusets Tid : Att Hantera Relationer Och Hälsa I Zululand</t>
  </si>
  <si>
    <t>Wickström, Anette</t>
  </si>
  <si>
    <t>Halftoning for Multi-Channel Printing : Algorithm Development, Implementation and Verification</t>
  </si>
  <si>
    <t>Techniques for Efficient Implementation of FIR and Particle Filtering</t>
  </si>
  <si>
    <t>Alam, Syed Asad</t>
  </si>
  <si>
    <t>Failure Mechanisms in APS and SPS Thermal Barrier Coatings During Cyclic Oxidation and Hot Corrosion</t>
  </si>
  <si>
    <t>Jonnalagadda, Krisha Praveen</t>
  </si>
  <si>
    <t>Phase Noise and Wideband Transmission in Massive MIMO</t>
  </si>
  <si>
    <t>Pitarokoilis, Antonios</t>
  </si>
  <si>
    <t>Apokoinou in Swedish Talk-In-interaction : A Family of Methods for Grammatical Construction and the Resolving of Local Communicative Projects</t>
  </si>
  <si>
    <t>Norén, Niklas</t>
  </si>
  <si>
    <t>Stage T1 Urinary Bladder Carcinoma : Investigation of a Population-Based Cohort</t>
  </si>
  <si>
    <t>Olsson, Hans</t>
  </si>
  <si>
    <t>Completing the Is-A Structure in Description Logics Ontologies</t>
  </si>
  <si>
    <t>Low-Friction and Wear-resistant Carbon Nitride Coatings for Bearing Components Grown by Magnetron Sputtering</t>
  </si>
  <si>
    <t>Bakoglidis, Konstantinos</t>
  </si>
  <si>
    <t>Microbiological Surveillance in Primary Health Care : New Aspects of Antimicrobial Resistance and Molecular Epidemiology in an Ageing Population</t>
  </si>
  <si>
    <t>Olofsson, Magnus</t>
  </si>
  <si>
    <t>Exploiting Energy Awareness in Mobile Communication</t>
  </si>
  <si>
    <t>Vergara Alonso, Ekhiotz Jon</t>
  </si>
  <si>
    <t>Developing a Framework for Supply Chain Planning in Construction</t>
  </si>
  <si>
    <t>Thunberg, Micael</t>
  </si>
  <si>
    <t>Towards Greener Supply Chains : Inclusion of Environmental Activities in Relationships Between Logistics Service Providers and Shippers</t>
  </si>
  <si>
    <t>Martinsen (Sallnäs), Uni</t>
  </si>
  <si>
    <t>Wastewater Treatment in Constructed Wetlands : Effects of Vegetation, Hydraulics and Data Analysis Methods</t>
  </si>
  <si>
    <t>Bodin, Hristina</t>
  </si>
  <si>
    <t>Free Oscillation Rheometry in the Assessment of Platelet Quality</t>
  </si>
  <si>
    <t>Tynngård, Nahreen</t>
  </si>
  <si>
    <t>Growth and Thermoelectric Properties of CaMnO 3 -Based Thin Films</t>
  </si>
  <si>
    <t>Treating Depression and Its Comorbidity : From Individualized Internet-Delivered Cognitive Behavior Therapy to Affect-focused Psychodynamic Psychotherapy</t>
  </si>
  <si>
    <t>Johansson, Robert</t>
  </si>
  <si>
    <t>Broad Entrance - Vague Exit : The Trajectory of Political Science Students Through Higher Education into Working Life</t>
  </si>
  <si>
    <t>Johansson, Kristina</t>
  </si>
  <si>
    <t>Apparater, Aktiviteter Och Aktörer : Lågenergiboende Som Resurs Och Restriktion För Energiordningar</t>
  </si>
  <si>
    <t>Karresand, Helena</t>
  </si>
  <si>
    <t>The Feeling of Migration : Narratives of Queer Intimacies and Partner Migration</t>
  </si>
  <si>
    <t>Ahlstedt, Sara</t>
  </si>
  <si>
    <t>Cooperative Variable Speed Limit Systems : Modeling and Evaluation Using Microscopic Traffic Simulation</t>
  </si>
  <si>
    <t>Grumert, Ellen</t>
  </si>
  <si>
    <t>Towards Systematic Prevention of Athletics Injuries : Use of Clinical Epidemiology for Evidence-Based Injury Prevention</t>
  </si>
  <si>
    <t>Jacobsson, Jenny</t>
  </si>
  <si>
    <t>Methods and Algorithms for Control Input Placement in Complex Networks</t>
  </si>
  <si>
    <t>Inverse Mathematical Models for Brain Tumour Growth</t>
  </si>
  <si>
    <t>Jaroudi, Rym</t>
  </si>
  <si>
    <t>Inclusion of Sustainability Aspects in Product Development at Manufacturing Companies</t>
  </si>
  <si>
    <t>Paulson, Fredrik</t>
  </si>
  <si>
    <t>Targeting Vascular Remodeling in Abdominal Aortic Aneurysm : To Identify Novel Treatment Strategies and Drug Candidates</t>
  </si>
  <si>
    <t>Vorkapić, Emina</t>
  </si>
  <si>
    <t>Effect of Metal Ion Irradiation on Hard Coating Synthesis by Physical Vapor Deposition</t>
  </si>
  <si>
    <t>Hsu, Tun-Wei</t>
  </si>
  <si>
    <t>Excitonic Effects and Energy Upconversion in Bulk and Nanostructured ZnO</t>
  </si>
  <si>
    <t>Chen, Shula</t>
  </si>
  <si>
    <t>Good Guys : A Cultural Semiotic Study of the Print Advertising of the Oil Industry (1900-2000)</t>
  </si>
  <si>
    <t>Vang, Pamela</t>
  </si>
  <si>
    <t>Building Blocks for Low-Voltage Analog-To-Digital Interfaces</t>
  </si>
  <si>
    <t>Model-Based Verification of Dynamic System Behavior Against Requirements : Method, Language, and Tool</t>
  </si>
  <si>
    <t>Schamai, Wladimir</t>
  </si>
  <si>
    <t>Handlingar I Matematikklassrummet : En Studie Av Undervisningsverksamheter På lågstadiet då Räknemetoder För Addition Och Subtraktion är I Fokus</t>
  </si>
  <si>
    <t>Engvall, Margareta</t>
  </si>
  <si>
    <t>Neurohormonal Activation, Symptoms and Health-Related Quality of Life in Patients with Atrial Fibrillation Eligible for Radiofrequency Ablation</t>
  </si>
  <si>
    <t>Charitakis, Emmanouil</t>
  </si>
  <si>
    <t>Strategies to Improve Outcome in Patients with ST Elevation Myocardial Infarction Treated with Primary PCI</t>
  </si>
  <si>
    <t>Tödt, Tim</t>
  </si>
  <si>
    <t>Health Economic Aspects of Injury Prevention at the Municipal Level</t>
  </si>
  <si>
    <t>Gyllensvärd, Harald</t>
  </si>
  <si>
    <t>Important Factors in the Transfer of Aircraft Production : Challenges Related to Offset Business</t>
  </si>
  <si>
    <t>A Data-Centric Internet of Things Framework Based on Public Cloud</t>
  </si>
  <si>
    <t>Remote Sensing of Woodland Structure and Composition in the Sudano-Sahelian Zone : Application of WorldView-2 and Landsat 8</t>
  </si>
  <si>
    <t>Karlson, Martin</t>
  </si>
  <si>
    <t>Developing Academic Literacies in Times of Change : Scaffolding Literacies Acquisition with the Curriculum and ICT in Rwandan Tertiary Education</t>
  </si>
  <si>
    <t>Karoro Muhirwe, Charles</t>
  </si>
  <si>
    <t>Graphene-Based Nanocomposites for Electronics and Photocatalysis</t>
  </si>
  <si>
    <t>Chalangar, Ebrahim</t>
  </si>
  <si>
    <t>Mellan Erfarenhet Och Förväntan : Betydelser Av Att Bli Vuxen I Ungdomars Livsberättelser</t>
  </si>
  <si>
    <t>Kåks, Helena</t>
  </si>
  <si>
    <t>Space and Place : Perspectives on Outdoor Teaching and Learning</t>
  </si>
  <si>
    <t>Fägerstam, Emilia</t>
  </si>
  <si>
    <t>Design and Synthesis of Inhibitors Targeting BACE-1, an Aspartic Protease Involved in the Pathogenesis of Alzheimer's Disease</t>
  </si>
  <si>
    <t>Sandgren, Veronica</t>
  </si>
  <si>
    <t>Transmission Electron Microscopy of 2D Materials : Structure and Surface Properties</t>
  </si>
  <si>
    <t>Karlsson, Linda</t>
  </si>
  <si>
    <t>Learning Professional Skills and Attitudes : Medical Students' Attitudes Towards Communication Skills and Group Learning</t>
  </si>
  <si>
    <t>Lumma-Sellenthin, Antje</t>
  </si>
  <si>
    <t>The Smart City - How Smart Can 'IT' Be? : Discourses on Digitalisation in Policy and Planning of Urban Development</t>
  </si>
  <si>
    <t>Granath, Malin</t>
  </si>
  <si>
    <t>With District Heating Toward a Sustainable Future : System Studies of District Heating and Cooling That Interact with Power, Transport and Industrial Sectors</t>
  </si>
  <si>
    <t>Djuric Ilic, Danica</t>
  </si>
  <si>
    <t>CFD Simulations for Film Cooling : Reduced Models at Engine Like Conditions</t>
  </si>
  <si>
    <t>Bradley, Andreas</t>
  </si>
  <si>
    <t>Mot en Ny Vuxenutbildningspolitik? : Regional Utveckling Som Policy Och Praktik</t>
  </si>
  <si>
    <t>Firm-Level Entrepreneurship and the Internationalization of Small and Medium-sized Enterprises</t>
  </si>
  <si>
    <t>Hosseini, Mojtaba</t>
  </si>
  <si>
    <t>Body Dysmorphic Disorder : Capturing a Prevalent but under-Recognized Disorder</t>
  </si>
  <si>
    <t>Brohede, Sabina</t>
  </si>
  <si>
    <t>Kompetens Och Kompetensutveckling I Omsorgsarbete : Synen På Kompetens Och lärande - I Spänningsfältet Mellan Samhälleliga Förutsättningar Och Organisatoriska Villkor</t>
  </si>
  <si>
    <t>Bennich, Maria</t>
  </si>
  <si>
    <t>Geometric Computer Vision for Rolling-Shutter and Push-broom Sensors</t>
  </si>
  <si>
    <t>Ringaby, Erik</t>
  </si>
  <si>
    <t>Jag Sa Att Jag älskade Han Men Jag Har Redan Sagt Förlåt För Det : Ålder, Genus Och Sexualitet I Skolans Tidigare år</t>
  </si>
  <si>
    <t>Bengtsson, Jenny</t>
  </si>
  <si>
    <t>Biochemical and Functional Properties of Mammalian Bone Alkaline Phosphatase Isoforms During Osteogenesis</t>
  </si>
  <si>
    <t>Halling Linder, Cecilia</t>
  </si>
  <si>
    <t>Low-Rank Optimization in System Identification</t>
  </si>
  <si>
    <t>Klingspor, Måns</t>
  </si>
  <si>
    <t>Thermal Issues in Testing of Advanced Systems on Chip</t>
  </si>
  <si>
    <t>Aghaee Ghaleshahi, Nima</t>
  </si>
  <si>
    <t>Kalman Filters for Nonlinear Systems and Heavy-Tailed Noise</t>
  </si>
  <si>
    <t>Immune Mechanisms in Borrelia Burgdorferi Sensu Lato Infection in Relation to Clinical Outcome</t>
  </si>
  <si>
    <t>Fryland, Linda</t>
  </si>
  <si>
    <t>Environmental and Genetic Influences in Attention Deficit Hyperactivity Disorder (ADHD) and Its Comorbidities</t>
  </si>
  <si>
    <t>Johansson Capusan, Andrea</t>
  </si>
  <si>
    <t>The Making of a Reading Society : Developing a Culture of Reading in Rwanda</t>
  </si>
  <si>
    <t>Ruterana, Pierre Canisius</t>
  </si>
  <si>
    <t>Maktlösa Makthavare : En Studie Om Kommunalt Chefskap</t>
  </si>
  <si>
    <t>Högberg, Örjan</t>
  </si>
  <si>
    <t>Negotiating Solidarity : Collective Actions for Precarious Migrant Workers' Rights in Sweden</t>
  </si>
  <si>
    <t>Mesić, Nedzad</t>
  </si>
  <si>
    <t>New Phenomena in the World of Peaked Solitons</t>
  </si>
  <si>
    <t>Kardell, Marcus</t>
  </si>
  <si>
    <t>Toward Lean Remanufacturing : Challenges and Improvements in Material and Information Flows</t>
  </si>
  <si>
    <t>Kurilova-Palisaitienė, Jelena</t>
  </si>
  <si>
    <t>High-Temperature Behaviour of Austenitic Alloys : Influence of Temperature and Strain Rate on Mechanical Properties and Microstructural Development</t>
  </si>
  <si>
    <t>Musculoskeletal Biomechanics in Cross-Country Skiing</t>
  </si>
  <si>
    <t>Holmberg, L. Joakim</t>
  </si>
  <si>
    <t>Helgonbruk I Moderniseringstider : Bruket Av Birgitta- Och Olavstraditionerna I Samband Med Minnesfiranden I Sverige Och Norge 1891-2005</t>
  </si>
  <si>
    <t>Lindaräng, Ingemar</t>
  </si>
  <si>
    <t>Sustainability · Strategy · Space - Exploring Influences on Governing for Urban Sustainability in Municipalities</t>
  </si>
  <si>
    <t>Fenton, Paul</t>
  </si>
  <si>
    <t>A First Sketch of Computer Aided Ideation : Exploring CAD Tools As Externalization Media in Design Ideation</t>
  </si>
  <si>
    <t>Ekströmer, Philip</t>
  </si>
  <si>
    <t>Timing Parenthood : Independence, Family and Ideals of Life</t>
  </si>
  <si>
    <t>Bergnéhr, Disa</t>
  </si>
  <si>
    <t>Inflammation-Induced Gene Expression in Brain and Adrenal Gland</t>
  </si>
  <si>
    <t>Engström, Linda</t>
  </si>
  <si>
    <t>Radiation Burden from Modern Radiation Therapy Techniques Including Proton Therapy for Breast Cancer Treatment - Clinical Implications</t>
  </si>
  <si>
    <t>Flejmer, Anna M.</t>
  </si>
  <si>
    <t>Design Automation for Multidisciplinary Optimization : A High Level CAD Template Approach</t>
  </si>
  <si>
    <t>Tarkian, Mehdi</t>
  </si>
  <si>
    <t>Grounding Emotion Appraisal in Autonomous Humanoids</t>
  </si>
  <si>
    <t>Kiryazov, Kiril</t>
  </si>
  <si>
    <t>A Variational Approach to Image Diffusion in Non-Linear Domains</t>
  </si>
  <si>
    <t>Åström, Freddie</t>
  </si>
  <si>
    <t>Systemutveckling För Riskbaserad Tillsyn : Hur Verksamhetsanalys På Praktikteoretisk Grund Kan Användas För Kravfångst</t>
  </si>
  <si>
    <t>Karlsson, Eva</t>
  </si>
  <si>
    <t>Cardiovascular Risk Factors in Elderly : With Special Emphasis on Atrial Fibrillation, Hypertension and Diabetes</t>
  </si>
  <si>
    <t>Rådholm, Karin</t>
  </si>
  <si>
    <t>Collaborative Network Security: Targeting Wide-Area Routing and Edge-network Attacks</t>
  </si>
  <si>
    <t>Hiran, Rahul Gokulchand</t>
  </si>
  <si>
    <t>Low-Power Delta-Sigma Modulators for Medical Applications</t>
  </si>
  <si>
    <t>Fazli Yeknami, Ali</t>
  </si>
  <si>
    <t>Sequential Monte Carlo for Inference in Nonlinear State Space Models</t>
  </si>
  <si>
    <t>Dahlin, Johan</t>
  </si>
  <si>
    <t>Logistics Management in a Healthcare Context : Methodological Development for Describing and Evaluating a Healthcare Organisation As a Logistics System</t>
  </si>
  <si>
    <t>Contributions Within Two Topics in Integer Programming : Nurse Scheduling and Column Generation</t>
  </si>
  <si>
    <t>Rönnberg, Elina</t>
  </si>
  <si>
    <t>Supplier Integration in Category Management : A Case Study of the Situational Impact on Relationship Performance and Interdependence</t>
  </si>
  <si>
    <t>Ellström, Daniel</t>
  </si>
  <si>
    <t>Assessing Shared Strategic Understanding</t>
  </si>
  <si>
    <t>Berggren, Peter</t>
  </si>
  <si>
    <t>Att Skapa Drivkrafter För lärande Och Förändring : En Studie Om Jämställdhetsintegrering Och Dess Förutsättningar I en Kommun</t>
  </si>
  <si>
    <t>Sjöberg Forssberg, Karin</t>
  </si>
  <si>
    <t>Sockentänk : En Studie Av Två Deltagardemokratiska Experiment I Ydre Kommun</t>
  </si>
  <si>
    <t>Berry, Martin</t>
  </si>
  <si>
    <t>On Timing-Based Localization in Cellular Radio Networks</t>
  </si>
  <si>
    <t>Children at the Borders</t>
  </si>
  <si>
    <t>Josefsson, Jonathan</t>
  </si>
  <si>
    <t>Differences in Glycemic Control in Type 1 Diabetes Children and Adolescents : In a National and International Perspective and the Effect on Microvascular Complications in Young Adults</t>
  </si>
  <si>
    <t>Anderzén, Johan</t>
  </si>
  <si>
    <t>Simulerad Verklighet I Gymnasieskolans Fysik : En Designstudie Om en Augmented Reality Simulering Med Socio-Naturvetenskapligt Innehåll</t>
  </si>
  <si>
    <t>Lundblad, Thomas</t>
  </si>
  <si>
    <t>Asset Liability Management for Tanzania Pension Funds</t>
  </si>
  <si>
    <t>Mwakisisile, Andongwisye John</t>
  </si>
  <si>
    <t>Generalised Ramsey Numbers and Bruhat Order on Involutions</t>
  </si>
  <si>
    <t>SiC-FET Gas Sensors Developed for Control of the Flue Gas Desulfurization System in Power Plants Experimental and Modeling : Experimental and Modeling</t>
  </si>
  <si>
    <t>Darmastuti, Zhafira</t>
  </si>
  <si>
    <t>Computational Medical Image Analysis : With a Focus on Real-Time FMRI and Non-Parametric Statistics</t>
  </si>
  <si>
    <t>Eklund, Anders</t>
  </si>
  <si>
    <t>Outcome after Haemorrhoidopexy</t>
  </si>
  <si>
    <t>Gerjy, Roger</t>
  </si>
  <si>
    <t>Automation in the Recycling Industry : Recycling of Plastic and Large Liquid Crystal Displays</t>
  </si>
  <si>
    <t>Elo, Kristofer</t>
  </si>
  <si>
    <t>MRI Based Radiotherapy Planning and Pulse Sequence Optimization</t>
  </si>
  <si>
    <t>Aberration-Corrected Analytical Electron Microscopy of Transition Metal Nitride and Silicon Nitride Multilayers</t>
  </si>
  <si>
    <t>Fallqvist, Amie</t>
  </si>
  <si>
    <t>Diffusion of Environmental Technology in a Megacity - a Case Study of Mexico City</t>
  </si>
  <si>
    <t>Mejía-Dugand, Santiago</t>
  </si>
  <si>
    <t>Keloids - a Fibroproliferative Disease</t>
  </si>
  <si>
    <t>Seifert (Bock), Oliver</t>
  </si>
  <si>
    <t>Molecular and Biological Characteristics of Stroma and Tumor Cells in Colorectal Cancer</t>
  </si>
  <si>
    <t>Gao, Jingfang</t>
  </si>
  <si>
    <t>Lärares Arbete Med Individanpassning : Strategier Och Dilemman I Klassrummet</t>
  </si>
  <si>
    <t>Boo, Sofia</t>
  </si>
  <si>
    <t>Chemical Vapour Deposition of Sp 2 Hybridised Boron Nitride</t>
  </si>
  <si>
    <t>Chubarov, Mikhail</t>
  </si>
  <si>
    <t>Cultural Competence for Health Professionals : Instrument Development</t>
  </si>
  <si>
    <t>Holstein, Jane</t>
  </si>
  <si>
    <t>Obstructive Sleep Apnea : General Characteristics in Hypertensive Patients, Positional Sensitivity, and Upper Airway Sensory Neuropathy</t>
  </si>
  <si>
    <t>Sunnergren, Ola</t>
  </si>
  <si>
    <t>I Marknadens öga : Barn Och Visuell Konsumtion</t>
  </si>
  <si>
    <t>Sjöberg, Johanna</t>
  </si>
  <si>
    <t>Safe Sex, Unsafe Identities : Intersections of 'Race', Gender and Sexuality in Swedish HIV/AIDS Policy</t>
  </si>
  <si>
    <t>Bredström, Anna</t>
  </si>
  <si>
    <t>Fluorescent Thiophene-Based Ligands for Detection and Characterization of Disease-associated Protein Aggregates</t>
  </si>
  <si>
    <t>Klingstedt, Therése</t>
  </si>
  <si>
    <t>Battery Integrated Modular Multilevel Converter Topologies for Automotive Applications</t>
  </si>
  <si>
    <t>Balachandran, Arvind</t>
  </si>
  <si>
    <t>Facilitation of Industrial Symbiosis Development in a Swedish Region</t>
  </si>
  <si>
    <t>Hatefipour, Saeid</t>
  </si>
  <si>
    <t>Understanding Group-Based Learning in an Academic Context : Rwandan Students' Reflections on Collaborative Writing and Peer Assessment</t>
  </si>
  <si>
    <t>Mutwarasibo, Faustin</t>
  </si>
  <si>
    <t>How Requirements Development Could Support Design of Effective and Resource-Efficient Offerings</t>
  </si>
  <si>
    <t>Radiographers' Professional Practice : A Swedish Perspective</t>
  </si>
  <si>
    <t>Human Caliciviruses: a Study of Viral Evolution, Host Genetics and Disease Susceptibility</t>
  </si>
  <si>
    <t>Carlsson, Beatrice</t>
  </si>
  <si>
    <t>That Will Be Your Home : Resettlement Preparations for Children and Youth from the Horn of Africa</t>
  </si>
  <si>
    <t>Muftee, Mehek</t>
  </si>
  <si>
    <t>Historical Responsibility : Assessing the Past in International Climate Negotiations</t>
  </si>
  <si>
    <t>Friman (Fridahl), Mathias</t>
  </si>
  <si>
    <t>Human Adipocytes : Proteomic Approaches</t>
  </si>
  <si>
    <t>Jufvas, Åsa</t>
  </si>
  <si>
    <t>Residual Stresses and Fatigue of Shot Peened Cast Iron</t>
  </si>
  <si>
    <t>The Role of Biogas in a More Sustainable Energy System in Sweden</t>
  </si>
  <si>
    <t>Mechanisms of Sensory Neuron Diversification During Development and in the Adult Drosophila : How to Make a Difference</t>
  </si>
  <si>
    <t>Alkhori, Liza</t>
  </si>
  <si>
    <t>Taurine and Glutathione in Cerebrospinal Fluid and Plasma from Patients with Psychiatric Disorders and Healthy Controls</t>
  </si>
  <si>
    <t>Samuelsson, Martin</t>
  </si>
  <si>
    <t>Scandium Nitride Thin Films for Thermoelectrics</t>
  </si>
  <si>
    <t>Kerdsongpanya, Sit</t>
  </si>
  <si>
    <t>Affective Decision Making in Artificial Intelligence : Making Virtual Characters with High Believability</t>
  </si>
  <si>
    <t>Johansson, Anja</t>
  </si>
  <si>
    <t>Physical Vapor Deposition of Yttria-Stabilized Zirconia and Gadolinia-Doped Ceria Thin Films for Fuel Cell Applications</t>
  </si>
  <si>
    <t>Sønderby, Steffen</t>
  </si>
  <si>
    <t>Analysis of Alternative Massive MIMO Designs : Superimposed Pilots and Mixed-ADCs</t>
  </si>
  <si>
    <t>Modeling and Simulation of Microdialysis in the Deep Brain Structures</t>
  </si>
  <si>
    <t>Diczfalusy, Elin</t>
  </si>
  <si>
    <t>Canertinib-Induced Leukemia Cell Death Signaling : Effects of a Pan-ERBB Inhibitor</t>
  </si>
  <si>
    <t>Trinks, Cecilia</t>
  </si>
  <si>
    <t>Addressability and GHz Operation in Flexible Electronics</t>
  </si>
  <si>
    <t>Sani, Negar</t>
  </si>
  <si>
    <t>Caregiving Dilemmas : Ideology and Social Interactionin Tanzanian Family Life</t>
  </si>
  <si>
    <t>Johnson Frankenberg, Sofia</t>
  </si>
  <si>
    <t>Patterns of Corporate Visual Selfrepresentation in Accounting Narratives</t>
  </si>
  <si>
    <t>Eriksson, Emelie</t>
  </si>
  <si>
    <t>Perceptions of Family Planning and Sexually Transmitted Infections among Low-Income Men in Western Kenya</t>
  </si>
  <si>
    <t>Wambui, Theresah</t>
  </si>
  <si>
    <t>Online Health Promoting Communities : Design, Implementation and Formative Evaluation of an Intervention</t>
  </si>
  <si>
    <t>Ekberg, Joakim</t>
  </si>
  <si>
    <t>Matematikämnet Och Stadiebytet Mellan Grundskolan Och Gymnasieskolan : En Enkät- Och Klassrumsstudie</t>
  </si>
  <si>
    <t>Larson, Niclas</t>
  </si>
  <si>
    <t>Optimal Decisions in the Equity Index Derivatives Markets Using Option Implied Information</t>
  </si>
  <si>
    <t>Barkhagen, Mathias</t>
  </si>
  <si>
    <t>Towards Semantically Enabled Complex Event Processing</t>
  </si>
  <si>
    <t>Ett Fett Liv : En Artikulering Av Viktordningen På Bas Av överviktiga Människors Erfarenheter</t>
  </si>
  <si>
    <t>Ekman, Aimée</t>
  </si>
  <si>
    <t>Climate Change Adaptation Processes : Regional and Sectoral Stakeholder Perspectives</t>
  </si>
  <si>
    <t>André, Karin</t>
  </si>
  <si>
    <t>Thiopurine S-Methyltransferase - Characterization of Variants and Ligand Binding</t>
  </si>
  <si>
    <t>Blissing, Annica</t>
  </si>
  <si>
    <t>Counteracting Abuse in Health Care from a Staff Perspective : Ethical Aspects and Practical Implications</t>
  </si>
  <si>
    <t>Zbikowski, Anke</t>
  </si>
  <si>
    <t>Om Organsystemens Organisation Och Funktion- Analys Av Elevsvar Från Sverige Och Sydafrika : Analys Av Elevsvar Från Sverige Och Sydafrika</t>
  </si>
  <si>
    <t>Granklint Enochson, Pernilla</t>
  </si>
  <si>
    <t>Growth and Characterization of ZrB 2 Thin Films</t>
  </si>
  <si>
    <t>Tengdelius, Lina</t>
  </si>
  <si>
    <t>A Study of Group 13-Nitride Atomic Layer Deposition : Computational Chemistry Modelling of Atomistic Deposition Processes</t>
  </si>
  <si>
    <t>Rönnby, Karl</t>
  </si>
  <si>
    <t>Gymnasieelevers Kommunikativa Strategier I Matematikklassrummet : En Fallstudie Av Ett Smågruppsarbete Om Derivata</t>
  </si>
  <si>
    <t>Bergholm, Marie</t>
  </si>
  <si>
    <t>Optimisation-Based Scheduling of an Avionic System</t>
  </si>
  <si>
    <t>Strukturerna Och Företagandet : En Longitudinell Studie Av Kvinnors Och Mäns Företagande I Spåren Av Den Offentliga Sektorns Omvandling</t>
  </si>
  <si>
    <t>Managing Variable Patient Flows at Hospitals</t>
  </si>
  <si>
    <t>Sperm Membrane Channels, Receptors and Kinematics : Using Boar Spermatozoa for Drug Toxicity Screening</t>
  </si>
  <si>
    <t>Vicente Carrillo, Alejandro</t>
  </si>
  <si>
    <t>Svensklärares Skrivdidaktiska Kunskapsbildning : Blivande Och Tidigt Verksamma Gymnasielärare I Svenska Talar Om Skrivundervisning</t>
  </si>
  <si>
    <t>Treatment of Subacromial Pain and Rotator Cuff Tears</t>
  </si>
  <si>
    <t>Björnsson Hallgren, Hanna Cecilia</t>
  </si>
  <si>
    <t>Seeing and Knowing the Earth As a System : An Effective History of Global Environmental Change Research As Scientific and Political Practice</t>
  </si>
  <si>
    <t>Uhrqvist, Ola</t>
  </si>
  <si>
    <t>Learning Challenges Associated with Evidence-Based Practice in Rheumatology</t>
  </si>
  <si>
    <t>Neher, Margit</t>
  </si>
  <si>
    <t>Stress and Fatigue Constrained Topology Optimization</t>
  </si>
  <si>
    <t>Fatigue Performance of Additive Manufactured Ti6Al4V in Aerospace Applications</t>
  </si>
  <si>
    <t>Industrial Symbiosis in the Biofuel Industry : Quantification of the Environmental Performance and Identification of Synergies</t>
  </si>
  <si>
    <t>Martin, Michael</t>
  </si>
  <si>
    <t>Toward an Understanding of Abuse in Health Care : A Female Patient Perspective</t>
  </si>
  <si>
    <t>Brüggemann, A. Jelmer</t>
  </si>
  <si>
    <t>Interrogating Atherosclerotic Plaque Biology Through Responses to Cardiovascular Risk Management and Imaging</t>
  </si>
  <si>
    <t>Good, Elin</t>
  </si>
  <si>
    <t>Multicomponent Alloying for Improved Hard Coatings</t>
  </si>
  <si>
    <t>Forsén, Rikard</t>
  </si>
  <si>
    <t>Participation in Heart Failure Home-Care : Patients' and Partners' Perspectives</t>
  </si>
  <si>
    <t>Näsström, Lena</t>
  </si>
  <si>
    <t>Neural and Cognitive Effects of Hearing Loss on Speech Processing</t>
  </si>
  <si>
    <t>Petersen, Eline Borch</t>
  </si>
  <si>
    <t>Assessment of Robustness in Railway Traffic Timetables</t>
  </si>
  <si>
    <t>Andersson, Emma V.</t>
  </si>
  <si>
    <t>Life in a World Heritage City : A Case Study of Discussions and Contested Values in Angra Do Heroísmo, the Azores</t>
  </si>
  <si>
    <t>Johansson, Marit</t>
  </si>
  <si>
    <t>Computation of Autonomous Safety Maneuvers Using Segmentation and Optimization</t>
  </si>
  <si>
    <t>Lost in Translation : Speech Recognition and Memory Processes in Native and Non-Native Language Perception</t>
  </si>
  <si>
    <t>Kilman, Lisa</t>
  </si>
  <si>
    <t>Interfacing Nanomaterials for Bioelectronic Applications</t>
  </si>
  <si>
    <t>Parlak, Onur</t>
  </si>
  <si>
    <t>Optimization Approaches for Design of Congestion Pricing Schemes</t>
  </si>
  <si>
    <t>Ekström, Joakim</t>
  </si>
  <si>
    <t>Domestication and Early Experiences in Chickens : Behavior, Stress and Gene Expression</t>
  </si>
  <si>
    <t>Løtvedt, Pia Katrine</t>
  </si>
  <si>
    <t>On Credibility Assessment in Aircraft System Simulation</t>
  </si>
  <si>
    <t>Eek, Magnus</t>
  </si>
  <si>
    <t>Disciplining Freedom : Treatment Dilemmas and Subjectivity at a Detention Home for Young Men</t>
  </si>
  <si>
    <t>Gradin Franzén, Anna</t>
  </si>
  <si>
    <t>Health-Related Quality of Life During and after Stem Cell Transplantation</t>
  </si>
  <si>
    <t>ödin, Ulla</t>
  </si>
  <si>
    <t>Crack Growth in Single Crystal Nickel Base Superalloys under Isothermal and Thermomechanical Fatigue</t>
  </si>
  <si>
    <t>Hope Rites : An Ethnographic Study of Mechanical Help-Heart Implantation Treatment</t>
  </si>
  <si>
    <t>Agic, Haris</t>
  </si>
  <si>
    <t>Small Area Estimation for Multivariate Repeated Measures Data</t>
  </si>
  <si>
    <t>Policy Integration for Sustainable Transport Development : Case Studies of Two Swedish Regions</t>
  </si>
  <si>
    <t>Eriksson, Linnea</t>
  </si>
  <si>
    <t>An Alternating Iterative Procedure for the Cauchy Problem for the Helmholtz Equation</t>
  </si>
  <si>
    <t>Mpinganzima, Lydie</t>
  </si>
  <si>
    <t>Construction Logistics Solutions in Urban Areas</t>
  </si>
  <si>
    <t>Spectrum Sensing Algorithms Based on Second-Order Statistics</t>
  </si>
  <si>
    <t>Axell, Erik</t>
  </si>
  <si>
    <t>Liv I Kollektiv : Vardagsliv Bland Ensamkommande Ungdomar På Institution</t>
  </si>
  <si>
    <t>Åkerlund, Eva-Marie</t>
  </si>
  <si>
    <t>High-Order Finite Difference Approximations for Hyperbolic Problems : Multiple Penalties and Non-Reflecting Boundary Conditions</t>
  </si>
  <si>
    <t>Frenander, Hannes</t>
  </si>
  <si>
    <t>Quality in Learning in Rwandan Higher Education : Different Stakeholders' Perceptions of Students' Learning and Employability</t>
  </si>
  <si>
    <t>Mbabazi, Penelope B.</t>
  </si>
  <si>
    <t>Transition Metal Nitrides : Alloy Design and Surface Transport Properties Using Ab-Initio and Classical Computational Methods</t>
  </si>
  <si>
    <t>Sangiovanni, Davide G.</t>
  </si>
  <si>
    <t>Magnitude Processing in Developmental Dyscalculia : A Heterogeneous Learning Disability with Different Cognitive Profiles</t>
  </si>
  <si>
    <t>Skagerlund, Kenny</t>
  </si>
  <si>
    <t>Spin Properties in Inas/GaAs Quantum Dot Based Nanostructures</t>
  </si>
  <si>
    <t>Beyer, Jan</t>
  </si>
  <si>
    <t>Frequency Tracking for Speed Estimation</t>
  </si>
  <si>
    <t>Lindfors, Martin</t>
  </si>
  <si>
    <t>Inverse Problems for Tumour Growth Models and Neural ODEs</t>
  </si>
  <si>
    <t>Health Economic Aspects of Diabetic Retinopathy</t>
  </si>
  <si>
    <t>Heintz, Emelie</t>
  </si>
  <si>
    <t>Composite Structure Optimization Using a Homogenized Material Approach</t>
  </si>
  <si>
    <t>Hozić, Dzenan</t>
  </si>
  <si>
    <t>Pride and Prejudice : Lesbian Families in Contemporary Sweden</t>
  </si>
  <si>
    <t>Malmquist, Anna</t>
  </si>
  <si>
    <t>Genetic Mechanisms During Terminal Cell Fate Specification in the Drosophila CNS</t>
  </si>
  <si>
    <t>Stratmann, Johannes</t>
  </si>
  <si>
    <t>A Class of Infinite Dimensional Stochastic Processes with Unbounded Diffusion</t>
  </si>
  <si>
    <t>Particulate Phosphorus Accumulation and Net Retention in Constructed Wetlands Receiving Agricultural Runoff : Critical Analysis of Factors Affecting Retention Estimates</t>
  </si>
  <si>
    <t>Johannesson, Karin</t>
  </si>
  <si>
    <t>Reconstructing Noah's Ark : Integration of Climate Change Adaptation into Swedish Public Policy</t>
  </si>
  <si>
    <t>Glaas, Erik</t>
  </si>
  <si>
    <t>Maktens Fantasier Och Servicearbetets Praktik : Arbetsvillkor Inom Hotell- Och Restaurangbranschen I Malmö</t>
  </si>
  <si>
    <t>Mulinari, Paula</t>
  </si>
  <si>
    <t>Novel Methods and Software for Disease Module Inference</t>
  </si>
  <si>
    <t>de Weerd, Hendrik Arnold</t>
  </si>
  <si>
    <t>System Identification of Flight Mechanical Characteristics</t>
  </si>
  <si>
    <t>Towards Pedagogical Content Knowledge in Logistics</t>
  </si>
  <si>
    <t>Guidance and Visualization for Brain Tumor Surgery</t>
  </si>
  <si>
    <t>Maria Marreiros, Filipe Miguel</t>
  </si>
  <si>
    <t>TiAlN-Based Coatings at High Pressures and Temperatures</t>
  </si>
  <si>
    <t>Drama Som Pedagogisk Möjlighet : En Intervjustudie Med lärare I Grundskolan</t>
  </si>
  <si>
    <t>Fredriksson, Kristina</t>
  </si>
  <si>
    <t>The Role of Hypoxia for the Development of Diabetic Nephropathy : Temporal Relationship and Involvement of Endothelin Receptor Signaling</t>
  </si>
  <si>
    <t>Franzén, Stephanie</t>
  </si>
  <si>
    <t>From Orthogonal to Non-Orthogonal Multiple Access : Energy- and Spectrum-Efficient Resource Allocation</t>
  </si>
  <si>
    <t>Lei, Lei</t>
  </si>
  <si>
    <t>Modeling the Role of Energy Management in Embodied Cognition</t>
  </si>
  <si>
    <t>Montebelli, Alberto</t>
  </si>
  <si>
    <t>Timing Predictability in Future Multi-Core Avionics Systems</t>
  </si>
  <si>
    <t>Löfwenmark, Andreas</t>
  </si>
  <si>
    <t>Enabled by the Past : Understanding Endogenous Innovation in Mature Industries</t>
  </si>
  <si>
    <t>Onufrey, Ksenia</t>
  </si>
  <si>
    <t>On System Safety and Reliability Methods in Early Design Phases : Cost Fo Cused Optimization Applied on Aircraft Systems</t>
  </si>
  <si>
    <t>Johansson, Cristina</t>
  </si>
  <si>
    <t>Phase Field Modeling of Spinodal Decomposition in TiAlN</t>
  </si>
  <si>
    <t>Ullbrand, Jennifer</t>
  </si>
  <si>
    <t>Automatic Verification of Parameterized Systems by Over-Approximation</t>
  </si>
  <si>
    <t>Jahundovics, Vladislavs</t>
  </si>
  <si>
    <t>A Framework for Sales and Operations Planning in Process Industries</t>
  </si>
  <si>
    <t>Kritiskt Tänkande I Klassrummet : En Studie Av Didaktiska Val Och Manifesterat Kritiskt Tänkande I Samhällskunskaps- Och Filosofiundervisning</t>
  </si>
  <si>
    <t>Hjort, Simon</t>
  </si>
  <si>
    <t>Synthesis, Characterization and Applications of Metal Oxide Nanostructures</t>
  </si>
  <si>
    <t>Hussain, Mushtaque</t>
  </si>
  <si>
    <t>On Structure Exploiting Numerical Algorithms for Model Predictive Control</t>
  </si>
  <si>
    <t>Towards Design Automation for Additive Manufacturing : A Multidisciplinary Optimization Approach</t>
  </si>
  <si>
    <t>Designing Security-Enhanced Embedded Systems: Bridging Two Islands of Expertise</t>
  </si>
  <si>
    <t>Vasilevskaya, Maria</t>
  </si>
  <si>
    <t>Motion and Structure Estimation from Video</t>
  </si>
  <si>
    <t>Hedborg, Johan</t>
  </si>
  <si>
    <t>Growth and Characterization of Amorphous TiAlSiN and HfAlSiN Thin Films</t>
  </si>
  <si>
    <t>Fager, Hanna</t>
  </si>
  <si>
    <t>Composite Nanostructured Materials for Renewable Energy Applications</t>
  </si>
  <si>
    <t>Mustafa, Elfatih Mohammed</t>
  </si>
  <si>
    <t>Model Predictive Control in Flight Control Design : Stability and Reference Tracking</t>
  </si>
  <si>
    <t>Early Stages of Designing Resource-Efficient Offerings : An Initial View of Their Analysis and Evaluation</t>
  </si>
  <si>
    <t>Brambila-Macias, Sergio</t>
  </si>
  <si>
    <t>Uncontainable Life : A Biophilosophy of Bioart</t>
  </si>
  <si>
    <t>Radomska, Marietta</t>
  </si>
  <si>
    <t>Caring Needs in Patient-Partner Dyads Affected by Heart Failure : An Evaluation of the Long-Term Effects of a Dyadic Psycho-educational Intervention</t>
  </si>
  <si>
    <t>Liljeroos, Maria</t>
  </si>
  <si>
    <t>High-Temperature Fatigue Behaviour of Austenitic Stainless Steel : Influence of Ageing on Thermomechanical Fatigue and Creep-Fatigue Interaction</t>
  </si>
  <si>
    <t>Undervisning Om Växande Geometriska Mönster : En Variationsteoretisk Studie Om Hur lärare Behandlar Ett Matematiskt Innehåll På Mellanstadiet</t>
  </si>
  <si>
    <t>Kerekes, Klara</t>
  </si>
  <si>
    <t>Words Don't Come Easy : Decoding and Reading Comprehension Difficulties in Adolescents with Intellectual Disability</t>
  </si>
  <si>
    <t>Nilsson, Karin</t>
  </si>
  <si>
    <t>Resilience in High Risk Work : Analysing Adaptive Performance</t>
  </si>
  <si>
    <t>Reflections on Autism : Ethical Perspectives on Autism Spectrum Disorder in Health Care and Education</t>
  </si>
  <si>
    <t>Jaarsma, Pier</t>
  </si>
  <si>
    <t>Managing Care Pathways for Patients with Complex Care Needs</t>
  </si>
  <si>
    <t>Contextualization of Evolving Patterns in the Internationalization of Small Firms</t>
  </si>
  <si>
    <t>Zhang, Ya</t>
  </si>
  <si>
    <t>Optimal Engine Operation in a Multi-Mode CVT Wheel Loader</t>
  </si>
  <si>
    <t>Nilsson, Tomas</t>
  </si>
  <si>
    <t>Contributions to Specification, Implementation, and Execution of Secure Software</t>
  </si>
  <si>
    <t>Wilander, John</t>
  </si>
  <si>
    <t>Computational Models for Animating 3D Virtual Faces</t>
  </si>
  <si>
    <t>Fratarcangeli, Marco</t>
  </si>
  <si>
    <t>Wear of Coated and Uncoated PCBN Cutting Tool Used in Turning and Milling</t>
  </si>
  <si>
    <t>Sveen, Susanne</t>
  </si>
  <si>
    <t>Sustainable Surface Functionalization of Lightweight Materials : Cerium Oxide Nanoparticles Replacing Chromium in Anodic Coatings and Carbon Nanomaterials for Lightning Strike Protection</t>
  </si>
  <si>
    <t>Poot, Thirza</t>
  </si>
  <si>
    <t>The Internationalization of SMEs: an Interactive Perspective of Firm-Level Entrepreneurship and Network Structure</t>
  </si>
  <si>
    <t>Community Robustness Analysis : Theoretical Approaches to Identifying Keystone Structures in Ecological Communities</t>
  </si>
  <si>
    <t>Berg, Sofia</t>
  </si>
  <si>
    <t>Underneath Norrköping : An Urban Mine of Hibernating Infrastructure</t>
  </si>
  <si>
    <t>Wallsten, Bjö</t>
  </si>
  <si>
    <t>High Pressure and High Temperature Behavior of TiAlN</t>
  </si>
  <si>
    <t>Norrby, Niklas</t>
  </si>
  <si>
    <t>Organizing Language Interpreting Services in Elderly and Emergency Healthcare</t>
  </si>
  <si>
    <t>Lundin, Christina</t>
  </si>
  <si>
    <t>Att Hantera Cellmetabolismens Komplexitet : Meningsskapande Genom Visualisering Och Metaforer</t>
  </si>
  <si>
    <t>Stadig Degerman, Mari</t>
  </si>
  <si>
    <t>Robust Image Registration for Improved Clinical Efficiency : Using Local Structure Analysis and Model-Based Processing</t>
  </si>
  <si>
    <t>Forsberg, Daniel</t>
  </si>
  <si>
    <t>Idiopathic Normal Pressure Hydrocephalus : Aspects on Pathophysiology, Clinical Characteristics and Evaluation Methods</t>
  </si>
  <si>
    <t>Lundin, Fredrik</t>
  </si>
  <si>
    <t>Surface Integrity of Broached Inconel 718 and Influence of Thermal Exposure</t>
  </si>
  <si>
    <t>Visualizing the Abyss of Time : Students' Interpretation of Visualized Deep Evolutionary Time</t>
  </si>
  <si>
    <t>Stenlund, Jörgen</t>
  </si>
  <si>
    <t>Interplay of Human Macrophages and Mycobacterium Tuberculosis Phenotypes</t>
  </si>
  <si>
    <t>Raffetseder, Johanna</t>
  </si>
  <si>
    <t>Open Source Vendors' Business Models</t>
  </si>
  <si>
    <t>Rosenfall, Thomas</t>
  </si>
  <si>
    <t>Online Learning for Robot Vision</t>
  </si>
  <si>
    <t>Öfjäll, Kristoffer</t>
  </si>
  <si>
    <t>Continuity of Care after Hospitalization Due to Cardiac Conditions : Patients' Perceptions, Validity and Reliability of a Measure, and Associations with Outcomes</t>
  </si>
  <si>
    <t>Säfström, Emma</t>
  </si>
  <si>
    <t>A Classical-Light Attack on Energy-Time Entangled Quantum Key Distribution, and Countermeasures</t>
  </si>
  <si>
    <t>Control Aspects of Complex Hydromechanical Transmissions : With a Focus on Displacement Control</t>
  </si>
  <si>
    <t>Att lära Sig Resonera : Om Elevers Möjligheter Att lära Sig Matematiska Resonemang</t>
  </si>
  <si>
    <t>Sidenvall, Johan</t>
  </si>
  <si>
    <t>Thirst in Patients with Heart Failure : Description of Thirst Dimensions and Associated Factors with Thirst</t>
  </si>
  <si>
    <t>Waldréus, Nana</t>
  </si>
  <si>
    <t>Model Based Vehicle Level Diagnosis for Hybrid Electric Vehicles</t>
  </si>
  <si>
    <t>Sundström, Christofer</t>
  </si>
  <si>
    <t>Time for Activities for Girls and Women with Rett Syndrome</t>
  </si>
  <si>
    <t>Sernheim, Åsa-Sara</t>
  </si>
  <si>
    <t>Components of Embodied Visual Object Recognition : Object Perception and Learning on a Robotic Platform</t>
  </si>
  <si>
    <t>Design of Integrated Building Blocks for the Digital/Analog Interface</t>
  </si>
  <si>
    <t>Andersson, Niklas</t>
  </si>
  <si>
    <t>Automatic Image Analysis for Decision Support in Rheumatoid Arthritis and Osteoporosis</t>
  </si>
  <si>
    <t>Kälvesten, Johan</t>
  </si>
  <si>
    <t>Situated Play</t>
  </si>
  <si>
    <t>Rambusch, Jana</t>
  </si>
  <si>
    <t>Theoretical Studies of Bose-Hubbard and Discrete Nonlinear Schrödinger Models : Localization, Vortices, and Quantum-Classical Correspondence</t>
  </si>
  <si>
    <t>Jason, Peter</t>
  </si>
  <si>
    <t>Bioinformatic Identification of Disease Associated Pathways by Network Based Analysis</t>
  </si>
  <si>
    <t>Barrenäs, Fredrik</t>
  </si>
  <si>
    <t>Accelerating Monte Carlo Methods for Bayesian Inference in Dynamical Models</t>
  </si>
  <si>
    <t>Study Guidance Practices in Science with Turkish Speaking Recently Arrived Pupils : A Study Focusing on Scaffolding and Meaning Making</t>
  </si>
  <si>
    <t>Axelsson, Feyza</t>
  </si>
  <si>
    <t>A Study of Chain Graph Interpretations</t>
  </si>
  <si>
    <t>Sonntag, Dag</t>
  </si>
  <si>
    <t>Magnetron Sputter Epitaxy of Group III-Nitride Semiconductor Nanorods</t>
  </si>
  <si>
    <t>Serban, Alexandra</t>
  </si>
  <si>
    <t>Acute, Ambulatory and Central Blood Pressure Measurements in Diabetes</t>
  </si>
  <si>
    <t>Wijkman, Magnus</t>
  </si>
  <si>
    <t>Bisphosphonates and Implants in the Jaw Bone</t>
  </si>
  <si>
    <t>Abtahi, Jahan</t>
  </si>
  <si>
    <t>Combining Simulation and Optimization for Improved Decision Support on Energy Efficiency in Industry</t>
  </si>
  <si>
    <t>Mardan, Nawzad</t>
  </si>
  <si>
    <t>The Relationship Between Physical Function and Experience of Fatigue in Patients with Chronic Obstructive Pulmonary Disease</t>
  </si>
  <si>
    <t>Tödt, Kristina</t>
  </si>
  <si>
    <t>On the Use of Computed Tomography in Cardiac Imaging</t>
  </si>
  <si>
    <t>De Geer, Jakob</t>
  </si>
  <si>
    <t>Optical Studies of Materials for Spectral Design</t>
  </si>
  <si>
    <t>Standardized Ultrasonography with Cine-Loop Documentation : Diagnostic Variability in Liver and Kidney Examinations</t>
  </si>
  <si>
    <t>Carina, Stenman</t>
  </si>
  <si>
    <t>Bortom Kontroll? : Den Svenska Kemikalieövervakningens Logik</t>
  </si>
  <si>
    <t>Haikola, Simon</t>
  </si>
  <si>
    <t>Promotion of Environmental Technology Export : Governmental Initiatives and Business Concepts</t>
  </si>
  <si>
    <t>An Integrated Development Environment with Enhanced Domain-Specific Interactive Model Validation</t>
  </si>
  <si>
    <t>Samlaus, Roland</t>
  </si>
  <si>
    <t>Rethinking Sound : Computer-Assisted Reading Intervention with a Phonics Approach for Deaf and Hard of Hearing Children Using Cochlear Implants or Hearing Aids</t>
  </si>
  <si>
    <t>Nakeva von Mentzer, Cecilia</t>
  </si>
  <si>
    <t>Graphene and ZnO Nanostructures for Nano- Optoelectronic and Biosensing Applications</t>
  </si>
  <si>
    <t>ul Hasan, Kamran</t>
  </si>
  <si>
    <t>Family Theme Parks, Happiness and Children's Consumption : From Roller-Coasters to Pippi Longstocking</t>
  </si>
  <si>
    <t>Cardell, David</t>
  </si>
  <si>
    <t>Lysosomal Membrane Stability and Cathepsins in Cell Death</t>
  </si>
  <si>
    <t>Appelqvist, Hanna</t>
  </si>
  <si>
    <t>Risk Factors in Type 2 Diabetes with Emphasis on Blood Pressure, Physical Activity and Serum Vitamin D</t>
  </si>
  <si>
    <t>E:son Jennersjö, Pär</t>
  </si>
  <si>
    <t>Screen Printed Thermoelectric Devices</t>
  </si>
  <si>
    <t>Dealing with Digits : Arithmetic, Memory and Phonology in Deaf Signers</t>
  </si>
  <si>
    <t>Andin, Josefine</t>
  </si>
  <si>
    <t>Samtals- Och Skriftspråksorienterade lärarledda Aktiviteter I Förskoleklass</t>
  </si>
  <si>
    <t>Titanium Oxide Nanoparticle Production Using High Power Pulsed Plasmas</t>
  </si>
  <si>
    <t>Electronic Control of Cell Cultures Using Conjugated Polymer Surfaces</t>
  </si>
  <si>
    <t>Persson, Kristin</t>
  </si>
  <si>
    <t>Implementation of Coordinated Healthy Lifestyle Promotion in Primary Care : Process and Outcomes</t>
  </si>
  <si>
    <t>Thomas, Kristin</t>
  </si>
  <si>
    <t>GAD 65 an Immunomodulator in Type 1 Diabetes</t>
  </si>
  <si>
    <t>Axelsson, Stina</t>
  </si>
  <si>
    <t>Aesthetic Flexibility : Modularity of Visual Form in Product Portfolios and Branded Products</t>
  </si>
  <si>
    <t>Complexity and Power Reduction in Digital Delta-Sigma Modulators</t>
  </si>
  <si>
    <t>Afzal, Nadeem</t>
  </si>
  <si>
    <t>Finite Element Modeling of Contact Problems</t>
  </si>
  <si>
    <t>Rashid, Asim</t>
  </si>
  <si>
    <t>Analysis and Design of DLL-Based Frequency Synthesizers for Ultra-Wideband Communication</t>
  </si>
  <si>
    <t>Ojani, Amin</t>
  </si>
  <si>
    <t>Mechanical Properties of Arteries : Identification and Application</t>
  </si>
  <si>
    <t>Environmental and Immunological Factors Associated with Allergic Disease in Children</t>
  </si>
  <si>
    <t>Tomičić, Sara</t>
  </si>
  <si>
    <t>The Investment Process for Capital Investments : The Case of Industrial Energy-Efficiency Investments and Non-energy Benefits</t>
  </si>
  <si>
    <t>Power Control for Multi-Cell Massive MIMO</t>
  </si>
  <si>
    <t>Characterization of Proteins Involved in Differentiation and Apoptosis of Human Leukemia and Epithelial Cancer Cells</t>
  </si>
  <si>
    <t>Borutinskaite, Veronika Viktorija</t>
  </si>
  <si>
    <t>High-Resolution Characterization of TiN Diffusion Barrier Layers</t>
  </si>
  <si>
    <t>Mühlbacher, Marlene</t>
  </si>
  <si>
    <t>Functional Proteomics of Protein Phosphorylation in Algal Photosynthetic Membranes</t>
  </si>
  <si>
    <t>Turkina, Maria</t>
  </si>
  <si>
    <t>Connections Provisioning Strategies for Dynamic WDM Networks</t>
  </si>
  <si>
    <t>Muhammad, Ajmal</t>
  </si>
  <si>
    <t>Entrepreneurship Policy : Public Support for Technology-Based Ventures</t>
  </si>
  <si>
    <t>Norrman, Charlotte</t>
  </si>
  <si>
    <t>Local Conditions for Cycles in Graphs</t>
  </si>
  <si>
    <t>Granholm, Jonas</t>
  </si>
  <si>
    <t>The Legal Process in Child Sexual Abuse : Difficulties in Confirming Evidence and Providing Support</t>
  </si>
  <si>
    <t>Back, Christina</t>
  </si>
  <si>
    <t>Phase Stability and Physical Properties of Nanolaminated Materials from First Principles</t>
  </si>
  <si>
    <t>Thore, Andreas</t>
  </si>
  <si>
    <t>Industrial Ecology and Development of Production Systems : Analysis of the CO 2 Footprint of Cement</t>
  </si>
  <si>
    <t>Feiz, Roozbeh</t>
  </si>
  <si>
    <t>The Alzheimer a&amp;beta</t>
  </si>
  <si>
    <t>De länkade Orden : Den Digitala Arenans Dynamik</t>
  </si>
  <si>
    <t>Mattus, Maria</t>
  </si>
  <si>
    <t>Cathodic Arc Synthesis of Ti-Si-C-N Thin Films : Plasma Analysis and Microstructure Formation</t>
  </si>
  <si>
    <t>Eriksson, Anders</t>
  </si>
  <si>
    <t>Driving in Virtual Reality : Investigations in Effects of Latency and Level of Virtuality</t>
  </si>
  <si>
    <t>Cancer and Cancer Stem Cell Targeting Agents : A Focus on Salinomycin and Apoptin</t>
  </si>
  <si>
    <t>Jangamreddy, Jaganmohan Reddy</t>
  </si>
  <si>
    <t>Efficient and Adaptive Content Delivery of Linear and Interactive Branched Videos</t>
  </si>
  <si>
    <t>Work Transitions As Biographical Learning : Exploring the Dynamics of Job Loss</t>
  </si>
  <si>
    <t>Hallqvist, Anders</t>
  </si>
  <si>
    <t>Exploring Systematic Lesson Variation : A Teaching Method in Mathematics</t>
  </si>
  <si>
    <t>Russell, Laurence</t>
  </si>
  <si>
    <t>Epitaxy of Oxide and Nitride Thin Films Grown by Magnetron Sputtering</t>
  </si>
  <si>
    <t>Alijan Farzad Lahiji, Faezeh</t>
  </si>
  <si>
    <t>Variability and Customization of Simulator Products : A Product Line Approach in Model Based Systems Engineering</t>
  </si>
  <si>
    <t>Andersson, Henric</t>
  </si>
  <si>
    <t>Lean in the Public Sector : Possibilities and Limitations</t>
  </si>
  <si>
    <t>Drotz, Erik</t>
  </si>
  <si>
    <t>Sustainability for Whom? : The Politics of Imagining Environmental Change in Education</t>
  </si>
  <si>
    <t>Sjögren, Hanna</t>
  </si>
  <si>
    <t>The Capacity for Self-Observation in Psychotherapy</t>
  </si>
  <si>
    <t>Falkenström, Fredrik</t>
  </si>
  <si>
    <t>Towards a Versatile Gas Sensing Platform with Epitaxial Graphene</t>
  </si>
  <si>
    <t>An Operations Research Approach for Daily Emergency Management</t>
  </si>
  <si>
    <t>Additively Manufactured Inconel 718 : Microstructures and Mechanical Properties</t>
  </si>
  <si>
    <t>Nationalising Culture : The Reorganisation of National Culture in Swedish Cultural Policy 1970-2002</t>
  </si>
  <si>
    <t>Harding, Tobias</t>
  </si>
  <si>
    <t>A Theoretical Study of Mass Transport Processes on TiN(001) and Mechanical Properties of TiN- and VN-Based Ternaries</t>
  </si>
  <si>
    <t>Monte Carlo Studies of Charge Transport below the Mobility Edge</t>
  </si>
  <si>
    <t>Jakobsson, Mattias</t>
  </si>
  <si>
    <t>Travelling Through Time : Students' Interpretation of Evolutionary Time in Dynamic Visualizations</t>
  </si>
  <si>
    <t>Empirical Studies on Economic and Financial Spillovers : Asymmetric Risk and Dependence Modeling</t>
  </si>
  <si>
    <t>Hedström, Axel</t>
  </si>
  <si>
    <t>Empowering Women in the Middle East by Psychosocial Interventions : Can Provision of Learning Spaces in Individual and Group Sessions and Teaching of Coping Strategies Improve Women's Quality of Life?</t>
  </si>
  <si>
    <t>Addelyan Rasi, Hamideh</t>
  </si>
  <si>
    <t>Fostering Dynamic Capabilities of SMEs. the Impact of Inward International Licensing on Absorptive Capacity and Networking Capability : A Multiple Case Study in Pharmaceutical Industry</t>
  </si>
  <si>
    <t>Saeedi, Mohammad Reza</t>
  </si>
  <si>
    <t>Vägledande Eller Vilseledande? : Kvalitetsmätning Och Ranking Av Universitet Och Högskolor</t>
  </si>
  <si>
    <t>Bergseth, Brita</t>
  </si>
  <si>
    <t>Constipation in Palliative Care : Prevalence, Definitions, Symptom Distress and Risk-Factors</t>
  </si>
  <si>
    <t>Erichsén, Eva</t>
  </si>
  <si>
    <t>Learnables in Action : The Embodied Achievement of Opportunities for Teaching and Learning in Swedish As a Second Language Classrooms</t>
  </si>
  <si>
    <t>Majlesi, Ali Reza</t>
  </si>
  <si>
    <t>Spatio-Temporal Stream Reasoning with Adaptive State Stream Generation</t>
  </si>
  <si>
    <t>Polarization-Resolved Photoluminescence Spectroscopy of III-nitride Quantum Dots</t>
  </si>
  <si>
    <t>Amloy, Supaluck</t>
  </si>
  <si>
    <t>Tick-Borne Infections in Humans : Aspects of Immunopathogenesis, Diagnosis and Co-Infections with Borrelia Burgdorferi and Anaplasma Phagocytophilum</t>
  </si>
  <si>
    <t>Nordberg, Marika</t>
  </si>
  <si>
    <t>Bayesian Models for Spatiotemporal Data from Transportation Networks</t>
  </si>
  <si>
    <t>Rodriguez Déniz, Héctor</t>
  </si>
  <si>
    <t>Tinnitus in Context : A Contemporary Contextual Behavioral Approach</t>
  </si>
  <si>
    <t>Hesser, Hugo</t>
  </si>
  <si>
    <t>Bioinformatic Methods for Characterization of Viral Pathogens in Metagenomic Samples</t>
  </si>
  <si>
    <t>Lysholm, Fredrik</t>
  </si>
  <si>
    <t>Evaluation of Surgically Assisted Rapid Maxillary Expansion and Orthodontic Treatment : Effects on Dental, Skeletal and Nasal Structures and Rhinological Findings</t>
  </si>
  <si>
    <t>Magnusson, Anders</t>
  </si>
  <si>
    <t>Lipid‐modifying and Glucose-Lowering Therapies in Clinical Practice : The Impact of Guidelines and Changing Reimbursement Schemes</t>
  </si>
  <si>
    <t>Pettersson, Billie</t>
  </si>
  <si>
    <t>On Electrohydraulic Pressure Control for Power Steering Applications : Active Steering for Road Vehicles</t>
  </si>
  <si>
    <t>Dell'Amico, Alessandro</t>
  </si>
  <si>
    <t>Corporate and City GHG Inventories : Impact on Global CO 2 Emissionswhen Considering Electricity and CHP-Based District Heating</t>
  </si>
  <si>
    <t>Nordenstam, Lena</t>
  </si>
  <si>
    <t>Lärares Reflektion Och Professionella Utveckling : Med Video Som Verktyg</t>
  </si>
  <si>
    <t>Harlin, Eva-Marie</t>
  </si>
  <si>
    <t>Corneal Stromal Cell Responses to Traumatic Wounds and Topical Treatments</t>
  </si>
  <si>
    <t>Kulikovska, Marina</t>
  </si>
  <si>
    <t>Computational Models in Deep Brain Stimulation : Patient‐Specific Simulations, Tractography, and Group Analysis</t>
  </si>
  <si>
    <t>Nordin, Teresa</t>
  </si>
  <si>
    <t>Coteaching Chemical Bonding with Upper Secondary Senior Students : A Way to Refine Teachers PCK</t>
  </si>
  <si>
    <t>Schultze, Felix</t>
  </si>
  <si>
    <t>Metastable YAlN and ScAlN Thin Films : Growth and Characterization</t>
  </si>
  <si>
    <t>Zukauskaitė, Agnė</t>
  </si>
  <si>
    <t>Breathing Matters : Feminist Intersectional Politics of Vulnerability</t>
  </si>
  <si>
    <t>Górska, Magdalena</t>
  </si>
  <si>
    <t>Graybox Modelling of Ships Using Indirect Input Measurements</t>
  </si>
  <si>
    <t>Conducting Polymer-Based Biohybrid Materials : Towards Microphysiological Chips and Soft Actuators for Bone Tissue Engineering</t>
  </si>
  <si>
    <t>Cao, Danfeng</t>
  </si>
  <si>
    <t>On Motion Planning and Control for Truck and Trailer Systems</t>
  </si>
  <si>
    <t>Mobile Robot Traversability Mapping : For Outdoor Navigation</t>
  </si>
  <si>
    <t>Nordin, Peter</t>
  </si>
  <si>
    <t>Aquaporins in Infection and Inflammation</t>
  </si>
  <si>
    <t>Holm, Angelika</t>
  </si>
  <si>
    <t>Empowermentprocesser - Ett Sätt Att öka långtidssjukskrivna Kvinnors Resurser? : En Studie Om Att återta Balansen I Arbetslivet Att återta Balansen I Arbetslivet</t>
  </si>
  <si>
    <t>Larsson, Ann-Christine</t>
  </si>
  <si>
    <t>Yttria-Stabilized Zirconia and Gadolinia-Doped Ceria Thin Films for Fuel Cell Applications</t>
  </si>
  <si>
    <t>Aspects of Massive MIMO</t>
  </si>
  <si>
    <t>Development of New Methodology for Therapeutic Drug Monitoring of Thiopurine Treatment</t>
  </si>
  <si>
    <t>Vikingsson, Svante</t>
  </si>
  <si>
    <t>Lärares Och Elevers Användande Av Laborativt Material I Bråkundervisningen I Skolår 4-6 : Vad Görs Möjligt För Eleverna Att Erfara?</t>
  </si>
  <si>
    <t>On the Realization of Credible Simulations in Aircraft Development : Efficient and Independent Validation Enabled by Automation</t>
  </si>
  <si>
    <t>Hällqvist, Robert</t>
  </si>
  <si>
    <t>Att Mötas På Folkhögskola : En Studie Om Folkhögskollärares Pedagogiska Hållning</t>
  </si>
  <si>
    <t>Millenberg, Filippa</t>
  </si>
  <si>
    <t>Nickel-Based Single-Crystal Superalloys : The Crystal Orientation Influence on High Temperature Properties</t>
  </si>
  <si>
    <t>Segersäll, Mikael</t>
  </si>
  <si>
    <t>Neuroprotective Effect of Genistein : Studies in Rat Models of Parkinson's and Alzheimer's Disease</t>
  </si>
  <si>
    <t>Bagheri, Maryam</t>
  </si>
  <si>
    <t>Semigroups of Sets Without the Baire Property in Finite Dimensional Euclidean Spaces</t>
  </si>
  <si>
    <t>Playing a Part in Preschool Documentation : A Study of How Participation Is Enacted in Preschool Documentation Practices and How It Is Affected by Material Agents</t>
  </si>
  <si>
    <t>A Co-Simulation Approach for Hydraulic Percussion Units</t>
  </si>
  <si>
    <t>Regulation of Immunity in Multiple Sclerosis : CD4+ T Cells and the Influence of Natalizumab</t>
  </si>
  <si>
    <t>Edström, Måns</t>
  </si>
  <si>
    <t>The Impact of Helminth Infection in Patients with Active Tuberculosis</t>
  </si>
  <si>
    <t>Abate, Ebba</t>
  </si>
  <si>
    <t>Nycklar till Kommunikation : Kommunikation Mellan Vuxna Personer Med Grav Förvärvad Hjärnskada Och Personernas Närstående, Anhöriga Och Personal</t>
  </si>
  <si>
    <t>Käcker, Pia</t>
  </si>
  <si>
    <t>Influence of Fruit, Meal Distribution and Dental Health on Cardio-Metabolic Risk</t>
  </si>
  <si>
    <t>Ström, Edvin</t>
  </si>
  <si>
    <t>Aspects of Recurrence and Progression in Ta/T1 Urinary Bladder Cancer</t>
  </si>
  <si>
    <t>Jancke, Georg</t>
  </si>
  <si>
    <t>Design and Optimization under Uncertainties : A Simulation and Surrogate Model Based Approach</t>
  </si>
  <si>
    <t>Persson, Johan</t>
  </si>
  <si>
    <t>Integration Through Framing : A Study of the Cloetta Fazer Merger</t>
  </si>
  <si>
    <t>Bjursell, Cecilia</t>
  </si>
  <si>
    <t>Den Verkliga Staden? : Norrköpings Innerstad Mellan Urbana Idéer Och Lokala Identiteter</t>
  </si>
  <si>
    <t>Brusman, Mats</t>
  </si>
  <si>
    <t>Modelling Weather Dynamics for Weather Derivatives Pricing</t>
  </si>
  <si>
    <t>Evarest Sinkwembe, Emanuel</t>
  </si>
  <si>
    <t>Growth and Heat Treatment Studies of Al-Cr-O and Al-Cr-o-N Thin Films</t>
  </si>
  <si>
    <t>Khatibi, Ali</t>
  </si>
  <si>
    <t>Massive MIMO: Fundamentals and System Designs</t>
  </si>
  <si>
    <t>Ngo, Hien Quoc</t>
  </si>
  <si>
    <t>Analysis, Design, and Optimization of Embedded Control Systems</t>
  </si>
  <si>
    <t>Aminifar, Amir</t>
  </si>
  <si>
    <t>Five Factors for Urban Sustainability - Exploring Influences on Municipal Strategic Planning</t>
  </si>
  <si>
    <t>Fenton, Paul David</t>
  </si>
  <si>
    <t>Exploring C2 Capability and Effectiveness in Challenging Situations : Interorganizational Crisis Management, Military Operations and Cyber Defence</t>
  </si>
  <si>
    <t>Granåsen, Magdalena</t>
  </si>
  <si>
    <t>Swift Transition and Knowledge Cycling : A Study of Knowledge Transfer in Technical Consulting</t>
  </si>
  <si>
    <t>X-Ray Absorption Spectroscopy Through Damped Coupled Cluster Response Theory</t>
  </si>
  <si>
    <t>Divide and Conquer: Distributed Optimization and Robustness Analysis</t>
  </si>
  <si>
    <t>Khoshfetrat Pakazad, Sina</t>
  </si>
  <si>
    <t>Managing Quality in a Service Context</t>
  </si>
  <si>
    <t>Johansson, Elisabeth</t>
  </si>
  <si>
    <t>Predictive Markers of Treatment Resistance in Head and Neck Squamous Cell Carcinoma</t>
  </si>
  <si>
    <t>Jerhammar, Fredrik</t>
  </si>
  <si>
    <t>Carrier Lifetime Relevant Deep Levels in SiC</t>
  </si>
  <si>
    <t>Booker, Ian Don</t>
  </si>
  <si>
    <t>Nuclease Activity As a Biomarker in Cancer Detection</t>
  </si>
  <si>
    <t>Balian, Alien</t>
  </si>
  <si>
    <t>Troubleshooting Trucks : Automated Planning and Diagnosis</t>
  </si>
  <si>
    <t>Warnquist, Håkan</t>
  </si>
  <si>
    <t>Position Estimation in Uncertain Radio Environments and Trajectory Learning</t>
  </si>
  <si>
    <t>Imagining Urban Gardening Space : An Ethnographic Study of Urban Gardening in Sweden</t>
  </si>
  <si>
    <t>Åberg, Ida</t>
  </si>
  <si>
    <t>Supply Chain Risk Management : Identification, Evaluation and Mitigation Techniques</t>
  </si>
  <si>
    <t>Musa, S. Nurmaya</t>
  </si>
  <si>
    <t>Study of Six-Port Modulators and Demodulators for High-Speed Data Communications</t>
  </si>
  <si>
    <t>Östh, Joakim</t>
  </si>
  <si>
    <t>Optimal Braking Patterns and Forces in Autonomous Safety-Critical Maneuvers</t>
  </si>
  <si>
    <t>Structural and Elastic Properties of InN and InAlN with Different Surface Orientations and Doping</t>
  </si>
  <si>
    <t>Xie, Mengyao</t>
  </si>
  <si>
    <t>Efficiency of Heat and Work in a Regional Energy System</t>
  </si>
  <si>
    <t>Rosén, Tommy</t>
  </si>
  <si>
    <t>Elucidating the Role of 17&amp;beta</t>
  </si>
  <si>
    <t>Why Is It Difficult to Design Innovative IT? : An Agential Realist Study of Designing IT for Healthcare Innovation</t>
  </si>
  <si>
    <t>Wassrin, Siri</t>
  </si>
  <si>
    <t>Tools for Understanding, Debugging, and Simulation Performance Improvement of Equation-Based Models</t>
  </si>
  <si>
    <t>Sjölund, Martin</t>
  </si>
  <si>
    <t>Enabling Automation of Composite Manufacturing Through the Use of off-The-Shelf Solutions</t>
  </si>
  <si>
    <t>Piezoelectricity, Phase Stability, and Surface Diffusion in Multicomponent Nitrides</t>
  </si>
  <si>
    <t>Tholander, Christopher</t>
  </si>
  <si>
    <t>Low-Cost Demonstrators : Enhancing Product Development with the Use of Physical Representations</t>
  </si>
  <si>
    <t>The Supporting Role of Logistics During the Early Stage of Retail Internationalisation</t>
  </si>
  <si>
    <t>Optimization of Rotations in FFTs</t>
  </si>
  <si>
    <t>Qureshi, Fahad</t>
  </si>
  <si>
    <t>Evaluation, Transformation, and Extraction of Driving Cycles and Vehicle Operations</t>
  </si>
  <si>
    <t>Nyberg, Peter</t>
  </si>
  <si>
    <t>Towards an Approach for Efficiency Evaluation of Enterprise Modeling Methods</t>
  </si>
  <si>
    <t>Khademhosseinieh, Banafsheh</t>
  </si>
  <si>
    <t>Consciousness about Own and Others' Affects</t>
  </si>
  <si>
    <t>Lech, Börje</t>
  </si>
  <si>
    <t>Sport As a Means of Responding to Social Problems : Rationales of Government, Welfare and Social Change</t>
  </si>
  <si>
    <t>Ekholm, David</t>
  </si>
  <si>
    <t>Synthesis and Characterization of Mo-Based Nanolaminates</t>
  </si>
  <si>
    <t>Economic and Environmental Benefits of CHP-Based District Heating Systems in Sweden</t>
  </si>
  <si>
    <t>Amiri, Shahnaz</t>
  </si>
  <si>
    <t>Structural Reformulations in System Identification</t>
  </si>
  <si>
    <t>Lyzell, Christian</t>
  </si>
  <si>
    <t>To Mourn and Resist Stigma : Narration, Meaning-Making and Self-formation after a Parent's Suicide</t>
  </si>
  <si>
    <t>Silvén Hagström, Anneli</t>
  </si>
  <si>
    <t>Lactobacillus Iners and the Normal Vaginal Flora</t>
  </si>
  <si>
    <t>Jakobsson, Tell</t>
  </si>
  <si>
    <t>Decentralizing Hydraulic Society : Actor Responses to Institutional Arrangements in Vietnam</t>
  </si>
  <si>
    <t>Pham, Thi Bich Ngoc</t>
  </si>
  <si>
    <t>Övning Ger Färdighet? : Lagarbete, Riskhantering Och Känslor I Brandmäns Yrkesutbildning</t>
  </si>
  <si>
    <t>Blondin, Magnus</t>
  </si>
  <si>
    <t>Influence of Deformation and Environmental Degradation of Inconel 792</t>
  </si>
  <si>
    <t>Kanesund, Jan-erik</t>
  </si>
  <si>
    <t>Violence Through the Life Cycle : A Public Health Problem</t>
  </si>
  <si>
    <t>Olofsson, Niclas</t>
  </si>
  <si>
    <t>Knowledge Integration in Product Development Projects</t>
  </si>
  <si>
    <t>Enberg, Cecilia</t>
  </si>
  <si>
    <t>Structured Management of Patients with Suspected Acute Appendicitis</t>
  </si>
  <si>
    <t>Andersson, Manne</t>
  </si>
  <si>
    <t>A Quantum Chemical Exploration of SiC Chemical Vapor Deposition</t>
  </si>
  <si>
    <t>Sukkaew, Pitsiri</t>
  </si>
  <si>
    <t>Design of Ultra-Low-Power Analog-To-Digital Converters</t>
  </si>
  <si>
    <t>Zhang, Dai</t>
  </si>
  <si>
    <t>Performance Bounds for Very Large Multiuser MIMO Systems</t>
  </si>
  <si>
    <t>Barns Växa Vilt Och Vuxnas Vilja Att Forma : Formell Och Informell Socialisation I en Muslimsk Skola</t>
  </si>
  <si>
    <t>Aretun, Åsa</t>
  </si>
  <si>
    <t>Metamodel-Based Design Optimization : A Multidisciplinary Approach for Automotive Structures</t>
  </si>
  <si>
    <t>The Influence of Energy Levels on Voltage Losses and Charge Generation in Organic Solar Cells</t>
  </si>
  <si>
    <t>Yu, Jianwei</t>
  </si>
  <si>
    <t>Estimation in Multivariate Linear Models with Linearly Structured Covariance Matrices</t>
  </si>
  <si>
    <t>Nzabanita, Joseph</t>
  </si>
  <si>
    <t>High Order Summation-By-parts Methods in Time and Space</t>
  </si>
  <si>
    <t>Lundquist, Tomas</t>
  </si>
  <si>
    <t>Safety-Aware Autonomous Systems : Preparing Robots for Life in the Real World</t>
  </si>
  <si>
    <t>Tiger, Mattias</t>
  </si>
  <si>
    <t>Collaborative Multidisciplinary Design Optimization : A Framework Applied on Aircraft Systems and Industrial Robots</t>
  </si>
  <si>
    <t>Safavi, Edris</t>
  </si>
  <si>
    <t>Designing Mathematics Lessons Using Japanese Problem Solving Oriented Lesson Structure : A Swedish Case Study</t>
  </si>
  <si>
    <t>Asami-Johansson, Yukiko</t>
  </si>
  <si>
    <t>Anomaly Detection and Its Adaptation : Studies on Cyber-Physical Systems</t>
  </si>
  <si>
    <t>Raciti, Massimiliano</t>
  </si>
  <si>
    <t>Synthesising Metal Oxide Materials and Their Composite Nanostructures for Sensing and Optoelectronic Device Applications</t>
  </si>
  <si>
    <t>Khun, Kimleang</t>
  </si>
  <si>
    <t>Influence of Genetics and Mechanical Properties on Large Arteries in Man</t>
  </si>
  <si>
    <t>De Basso, Rachel</t>
  </si>
  <si>
    <t>Security in Embedded Systems : A Model-Based Approach with Risk Metrics</t>
  </si>
  <si>
    <t>Chemical Vapour Deposition of Boron-Carbon Thin Films from Organoboron Precursors</t>
  </si>
  <si>
    <t>Yimamu (Imam), Maiwulidan (Mewlude)</t>
  </si>
  <si>
    <t>La Commission Européenne et Ses Pratiques Communicatives : Étude des Dimensions Linguistiques et des Enjeux Politiques des Communiqués de Presse</t>
  </si>
  <si>
    <t>Lindholm, Maria</t>
  </si>
  <si>
    <t>Contributions to the Theory of Peaked Solitons</t>
  </si>
  <si>
    <t>Knowledge Integration and Innovation in Buyer-Supplier Collaborations</t>
  </si>
  <si>
    <t>Thermal Barrier Coatings : Durability Assessment and Life Prediction</t>
  </si>
  <si>
    <t>Eriksson, Robert</t>
  </si>
  <si>
    <t>Theoretical Descriptions of Complex Magnetism in Transition Metals and Their Alloys</t>
  </si>
  <si>
    <t>Ekholm, Marcus</t>
  </si>
  <si>
    <t>Nucleation and Stress Generation in Thin Films Deposited with a Pulsed Energetic Deposition Flux</t>
  </si>
  <si>
    <t>Tinnitus in Patients with Sensorineural Hearing Loss : Management and Quality of Life</t>
  </si>
  <si>
    <t>TV for Children : How the Swedish Public Service Television Imagines a Child Audience</t>
  </si>
  <si>
    <t>Pettersson, Åsa</t>
  </si>
  <si>
    <t>Model-Based Quantitative Assessment of Skin Microcirculatory Blood Flow and Oxygen Saturation</t>
  </si>
  <si>
    <t>Jonasson, Hanna</t>
  </si>
  <si>
    <t>Circulating and Mucosal Antibodies to Citrullinated Antigens in Rheumatoid Arthritis</t>
  </si>
  <si>
    <t>Svärd, Anna</t>
  </si>
  <si>
    <t>Sustainability Performance of Multi-Utility Tunnels : Sustainability Assessments for Furthering Knowledge and Understanding</t>
  </si>
  <si>
    <t>Bergman, Filip</t>
  </si>
  <si>
    <t>First-Principles Study of Configurational Disorder in Icosahedral Boron-rich Solids</t>
  </si>
  <si>
    <t>Me-Si-C (Me= Nb, Ti or Zr) : Nanocomposite and Amorphous Thin Films</t>
  </si>
  <si>
    <t>Tengstrand, Olof</t>
  </si>
  <si>
    <t>Human Resource Management in Project-Based Organisations : Challenges, Changes, and Capabilities</t>
  </si>
  <si>
    <t>Bredin, Karin</t>
  </si>
  <si>
    <t>Extended Target Tracking Using PHD Filters</t>
  </si>
  <si>
    <t>Granström, Karl</t>
  </si>
  <si>
    <t>The Sick Leave Process : Sick Leave Guidelines, Sickness Certificates, and Experiences of Professionals</t>
  </si>
  <si>
    <t>Nilsing Strid, Emma</t>
  </si>
  <si>
    <t>A System Perspective on Energy End-Use Measures in a District Heated Region : Renovation of Buildings and Hydronic Pavement Systems</t>
  </si>
  <si>
    <t>Blomqvist, Stefan</t>
  </si>
  <si>
    <t>Scalability and Semantic Sustainability in Electronic Health Record Systems</t>
  </si>
  <si>
    <t>Sundvall, Erik</t>
  </si>
  <si>
    <t>Cantor-Alloy-Based Multicomponent Nitride Thin Films</t>
  </si>
  <si>
    <t>Aspects on Image Quality in Radiologic Evaluation of the Urinary Tract</t>
  </si>
  <si>
    <t>Lundin, Margareta</t>
  </si>
  <si>
    <t>Mellan Kunskap Och Politik : Kvalitetssystem Och Offentlig Kunskapsstyrning I Hälso- Och Sjukvården</t>
  </si>
  <si>
    <t>Örnerheim, Mattias</t>
  </si>
  <si>
    <t>Kan Professioner Organiseras Fram? : En Fallstudie Av Den Kommunala Energi- Och Klimatrådgivningen</t>
  </si>
  <si>
    <t>Highway Traffic State Estimation and Short-Term Prediction</t>
  </si>
  <si>
    <t>Allström, Andreas</t>
  </si>
  <si>
    <t>Ultra-Low-Power Analog-To-Digital Converters for Medical Applications</t>
  </si>
  <si>
    <t>Ionic Circuits for Transduction of Electronic Signals into Biological Stimuli</t>
  </si>
  <si>
    <t>Tybrandt, Klas</t>
  </si>
  <si>
    <t>Cardiac Function and Aortic Valve Intervention : Echocardiographic Studies of Myocardial Recovery in Patients with Severe Aortic Valve Disease</t>
  </si>
  <si>
    <t>Forsberg, Lena</t>
  </si>
  <si>
    <t>Aspects of Disability in Rheumatoid Arthritis : A Five-Year Follow-up in the Swedish TIRA Project</t>
  </si>
  <si>
    <t>Björk, Mathilda</t>
  </si>
  <si>
    <t>Chain Graphs : Interpretations, Expressiveness and Learning Algorithms</t>
  </si>
  <si>
    <t>Undervisa Naturvetenskap Genom Inquiry : En Studie Av Två Högstadielärare</t>
  </si>
  <si>
    <t>Lundh, Ingrid</t>
  </si>
  <si>
    <t>Small-Amplitude Steady Water Waves with Vorticity</t>
  </si>
  <si>
    <t>Lokharu, Evgeniy</t>
  </si>
  <si>
    <t>Läsa, Förstå, Analysera : En Komparativ Studie Om Svenska Och Franska Gymnasieelevers Reception Av en Narrativ Text</t>
  </si>
  <si>
    <t>Johansson, Maritha</t>
  </si>
  <si>
    <t>Photochemical Properties of Phytochrome and Firefly Luciferase Chromophores: a Theoretical Study</t>
  </si>
  <si>
    <t>Algorithms and Framework for Energy Efficient Parallel Stream Computing on Many-Core Architectures</t>
  </si>
  <si>
    <t>Melot, Nicolas</t>
  </si>
  <si>
    <t>The Effect of Mg Doping on Optical and Structural Properties of GaN</t>
  </si>
  <si>
    <t>Khromov, Sergey</t>
  </si>
  <si>
    <t>Mobilization of Metals from Mining Wastes and the Resuspension of Contaminated Sediments</t>
  </si>
  <si>
    <t>Thuy Nguyen, Lan</t>
  </si>
  <si>
    <t>Signs for Developing Reading : Sign Language and Reading Development in Deaf and Hard-Of-Hearing Children</t>
  </si>
  <si>
    <t>Holmer, Emil</t>
  </si>
  <si>
    <t>Stiffness of the Healing Human Achilles Tendon</t>
  </si>
  <si>
    <t>Schepull, Thorsten</t>
  </si>
  <si>
    <t>Methods for Early Model Validation : Applied on Simulation Models of Aircraft Vehicle Systems</t>
  </si>
  <si>
    <t>Carlsson, Magnus</t>
  </si>
  <si>
    <t>High Temperature Behavior of Arc Evaporated ZrAlN and TiAlN Thin Films</t>
  </si>
  <si>
    <t>Rogström, Lina</t>
  </si>
  <si>
    <t>Synthesis and Spectroscopic Characterization of Emerging Synthetic Cannabinoids and Cathinones</t>
  </si>
  <si>
    <t>Carlsson, Andreas</t>
  </si>
  <si>
    <t>Samhällsförändring Och Det ömtåliga Hjärtat : En Analys Av Samhälle, Ohälsa Och Hjärtdödlighet I Linköping Och Norrköping Från 1950-Tal Till 2000-tal</t>
  </si>
  <si>
    <t>Grip, Bjö</t>
  </si>
  <si>
    <t>The Role of Context, Activities, and Organization, in Value-Based Procurement</t>
  </si>
  <si>
    <t>Hoshi Larsson, Martin</t>
  </si>
  <si>
    <t>Efficient Temporal Reasoning with Uncertainty</t>
  </si>
  <si>
    <t>Nilsson, Mikael</t>
  </si>
  <si>
    <t>Efficient Realizations of Wide-Band and Reconfigurable FIR Systems</t>
  </si>
  <si>
    <t>Sheikh, Zaka Ullah</t>
  </si>
  <si>
    <t>Methods for Scalable and Safe Robot Learning</t>
  </si>
  <si>
    <t>Water Fluxes and Cell Migration : How Aquaporin 9 Controls Cell Shape and Motility</t>
  </si>
  <si>
    <t>Karlsson, Thommie</t>
  </si>
  <si>
    <t>Inget Klöver Utan Matematik : En Studie Av Matematik I Yrkesutbildning Och Yrkesliv</t>
  </si>
  <si>
    <t>Muhrman, Karolina</t>
  </si>
  <si>
    <t>Wear Behavior of Ti 1-X Al X N-based Coatings During Turning</t>
  </si>
  <si>
    <t>Moreno, Maiara</t>
  </si>
  <si>
    <t>Web Authentication Using Third-Parties in Untrusted Environments</t>
  </si>
  <si>
    <t>Vapen, Anna</t>
  </si>
  <si>
    <t>Surgical Outcomes of Phototherapeutic Keratectomy on Epithelial Basement Membrane Dystrophy, and the Characterisation of Bowman´s Layer</t>
  </si>
  <si>
    <t>Germundsson, Johan</t>
  </si>
  <si>
    <t>Study of Novel Electronic Materials by Mid-Infrared and Terahertz Optical Hall Effect</t>
  </si>
  <si>
    <t>Atom Probe Tomography of TiSiN Thin Films</t>
  </si>
  <si>
    <t>Engberg, David</t>
  </si>
  <si>
    <t>Time Correlated Single Photon Spectroscopy on Pyramidal Quantum Dots</t>
  </si>
  <si>
    <t>Jemsson, Tomas</t>
  </si>
  <si>
    <t>Exercise Treatment of Patients with Long-Standing Subacromial Pain</t>
  </si>
  <si>
    <t>Holmgren, Theresa</t>
  </si>
  <si>
    <t>Towards Visual Literacy in School : Interactions Between Students and Interactive Visualizations in Social Science Classrooms</t>
  </si>
  <si>
    <t>Bodén, Ulrika</t>
  </si>
  <si>
    <t>Lokal Kollektivtrafik På Samhällsekonomisk Grundval</t>
  </si>
  <si>
    <t>Ljungberg, Anders</t>
  </si>
  <si>
    <t>Predictive Health Monitoring for Aircraft Systems Using Decision Trees</t>
  </si>
  <si>
    <t>Gerdes, Mike</t>
  </si>
  <si>
    <t>Design Automation of Complex Hydromechanical Transmissions</t>
  </si>
  <si>
    <t>Pettersson, Karl</t>
  </si>
  <si>
    <t>Modelling Intent for Manned-Unmanned Teaming : Exploring Human-Centric Approaches for Future Combat Aircraft Systems</t>
  </si>
  <si>
    <t>Hammarbäck, Jimmy</t>
  </si>
  <si>
    <t>Mechanisms of Olfactory Sensory Neuron Class Maintenance in Drosophila : It Is All about Design and Equilibrium</t>
  </si>
  <si>
    <t>Jafari, Shadi</t>
  </si>
  <si>
    <t>On Aortic Blood Flow Simulations : Scale-Resolved Image-Based CFD</t>
  </si>
  <si>
    <t>Lantz, Jonas</t>
  </si>
  <si>
    <t>Newtonian Spaces Based on Quasi-Banach Function Lattices</t>
  </si>
  <si>
    <t>Malý, Lukás</t>
  </si>
  <si>
    <t>Early Predictors of Reading Comprehension Difficulties</t>
  </si>
  <si>
    <t>Elwér, Åsa</t>
  </si>
  <si>
    <t>Dynamics of the Early Stages in Metal-On-Insulator Thin Film Deposition</t>
  </si>
  <si>
    <t>A Theoretical Study of Piezoelectricity, Phase Stability, and Surface Diffusion in Disordered Multicomponent Nitrides</t>
  </si>
  <si>
    <t>Aircraft Design Automation and Subscale Testing : With Special Reference to Micro Air Vehicles</t>
  </si>
  <si>
    <t>Lundström, David</t>
  </si>
  <si>
    <t>The Cerebrospinal Fluid in Severe Pain Conditions : Clinical, Pharmacological and Proteomic Aspects</t>
  </si>
  <si>
    <t>Bäckryd, Emmanuel</t>
  </si>
  <si>
    <t>District Heating in a Liberalized Energy Market: a New Order? : Planning and Development in the Stockholm Region, 1978-2012</t>
  </si>
  <si>
    <t>Magnusson, Dick</t>
  </si>
  <si>
    <t>Quantum Scattering and Interaction in Graphene Structures</t>
  </si>
  <si>
    <t>Orlof, Anna</t>
  </si>
  <si>
    <t>Coping with Learning Through a Foreign Language in Higher Education in Rwanda</t>
  </si>
  <si>
    <t>Kagwesage, Anne Marie</t>
  </si>
  <si>
    <t>Why Is It So Challenging to Cultivate Open Government Data? : Understanding Impediments from an Ecosystem Perspective</t>
  </si>
  <si>
    <t>Genetic Pathways Controlling CNS Development : The Role of Notch Signaling in Regulating Daughter Cell Proliferation in Drosophila</t>
  </si>
  <si>
    <t>Bivik Stadler, Caroline</t>
  </si>
  <si>
    <t>Professionsföretagare : I Skärningspunkten Mellan Småföretagande, Profession Och Genus</t>
  </si>
  <si>
    <t>Appelkvist, Jenny</t>
  </si>
  <si>
    <t>Integration of Ontology Alignment and Ontology Debugging for Taxonomy Networks</t>
  </si>
  <si>
    <t>Extensions for Distributed Moving Base Driving Simulators</t>
  </si>
  <si>
    <t>Det Besvärliga Våldet : Socialtjänstens Stöd till Kvinnor Som Utsatts För Våld I Nära Relationer</t>
  </si>
  <si>
    <t>Ekström, Veronica</t>
  </si>
  <si>
    <t>Aspects of Health-Related Quality of Life : Associations with Psychological and Biological Factors, and Use As Patient Reported Outcome in Routine Health Care</t>
  </si>
  <si>
    <t>Nilsson, Evalill</t>
  </si>
  <si>
    <t>Livsplats, Välbefinnande Och Kontrast : Väl- Och Illabefinnandets Livsplatser, Ur Objekt-, Subjekt- Och Processperspektiv</t>
  </si>
  <si>
    <t>Skillnäs, Nicklas</t>
  </si>
  <si>
    <t>Data-Driven Approaches for Sparse Reflectance Modeling and Acquisition</t>
  </si>
  <si>
    <t>Tongbuasirilai, Tanaboon</t>
  </si>
  <si>
    <t>Aspects of Crack Growth in Single-Crystal Nickel-Base Superalloys</t>
  </si>
  <si>
    <t>Methods for Automated Design of Fault Detection and Isolation Systems with Automotive Applications</t>
  </si>
  <si>
    <t>Svärd, Carl</t>
  </si>
  <si>
    <t>HiPIMS-Based Novel Deposition Processes for Thin Films</t>
  </si>
  <si>
    <t>Aijaz, Asim</t>
  </si>
  <si>
    <t>Transformations Towards Sustainable Food Systems : Pathways, Governance, and Actors in a Swedish and European Union Context</t>
  </si>
  <si>
    <t>Eliasson, Karin</t>
  </si>
  <si>
    <t>Patient Involvement : A Service Perspective</t>
  </si>
  <si>
    <t>Snyder, Hannah</t>
  </si>
  <si>
    <t>Simulation Based Evaluation of Advanced Driver Assistance Systems</t>
  </si>
  <si>
    <t>Elyasi-Pour, Roya</t>
  </si>
  <si>
    <t>Influencing Anaerobic Digestion Early Stage Processes for Increased Biomethane Production from Different Substrate Components</t>
  </si>
  <si>
    <t>Odnell, Anna</t>
  </si>
  <si>
    <t>Modeling and Optimal Control of Heavy-Duty Powertrains</t>
  </si>
  <si>
    <t>Nezhadali, Vaheed</t>
  </si>
  <si>
    <t>Characteristics of GADA in Type 1 Diabetes Following Immunomodulation with GAD 65</t>
  </si>
  <si>
    <t>Chéramy, Mikael</t>
  </si>
  <si>
    <t>Det Ekte, Det Gode Og Det Coole : Södra Teatern Og Den Dialogiske Formasjonen Av Mangfoldsdiskursen</t>
  </si>
  <si>
    <t>Egeland, Helene</t>
  </si>
  <si>
    <t>Delaktig (även) På äldre Dar : Åldrande Och Delaktighet Bland Personer Med Intellektuell Funktionsnedsättning Som Bor I Gruppbostad</t>
  </si>
  <si>
    <t>Kåhlin, Ida</t>
  </si>
  <si>
    <t>On Subscale Flight Testing : Applications in Aircraft Conceptual Design</t>
  </si>
  <si>
    <t>Sobron, Alejandro</t>
  </si>
  <si>
    <t>Biosensor Surface Chemistry for Oriented Protein Immobilization and Biochip Patterning</t>
  </si>
  <si>
    <t>Ericsson, Emma</t>
  </si>
  <si>
    <t>Speech Masking Speech in Everyday Communication : The Role of Inhibitory Control and Working Memory Capacity</t>
  </si>
  <si>
    <t>Stenbäck, Victoria</t>
  </si>
  <si>
    <t>The Non-Invasive Brain Biopsy : Implementation and Application of Quantitative Magnetic Resonance Spectroscopy on Healthy and Diseased Human Brain</t>
  </si>
  <si>
    <t>Tisell, Anders</t>
  </si>
  <si>
    <t>Estimation of Inverse Models Applied to Power Amplifier Predistortion</t>
  </si>
  <si>
    <t>On Manufacturing Technology As an Enabler of Flexibility : Affordable Reconfigurable Tooling and Force-Controlled Robotics</t>
  </si>
  <si>
    <t>Jonsson, Marie</t>
  </si>
  <si>
    <t>Oxidative Stress-Related Damage of Retinal Pigment Epithelial Cells : Possible Protective Properties of Autophagocytosed Iron-Binding Proteins</t>
  </si>
  <si>
    <t>Mathematical Modelling of Dose Planning in High Dose-Rate Brachytherapy</t>
  </si>
  <si>
    <t>Att Resa Rätt är Stort, Att Resa Fritt är Större : Kommunala Planerares Föreställningar Om Hållbara Resor</t>
  </si>
  <si>
    <t>Henriksson, Malin</t>
  </si>
  <si>
    <t>Provenance, Transport, and the Fate of Organic Matter and Sediments Drained Through Himalayan Rivers in Nepal</t>
  </si>
  <si>
    <t>Bhandari, Rajendra</t>
  </si>
  <si>
    <t>Birth Characteristics' Impacton Future Reproduction and Morbidity among Twins an DSingletons</t>
  </si>
  <si>
    <t>Bladh, Marie</t>
  </si>
  <si>
    <t>High Temperature Fatigue Crack Propagation Behaviour of Inconel 718</t>
  </si>
  <si>
    <t>Gustafsson, David</t>
  </si>
  <si>
    <t>Magnetic Resonance Imaging of the Heart : Image Quality, Measurement Accuracy and Patient Experience</t>
  </si>
  <si>
    <t>Ahlander, Britt-Marie</t>
  </si>
  <si>
    <t>Non-Linear Inverse Geothermal Problems</t>
  </si>
  <si>
    <t>Wokiyi, Dennis</t>
  </si>
  <si>
    <t>The Double Layer Potential Operator Through Functional Calculus</t>
  </si>
  <si>
    <t>Krimpogiannis, Michail</t>
  </si>
  <si>
    <t>On Motion Planning Using Numerical Optimal Control</t>
  </si>
  <si>
    <t>Unequal Valuations of Lives and What to Do about It : The Role of Identifiability, Numbers, and Age in Charitable Giving</t>
  </si>
  <si>
    <t>Moche, Hajdi</t>
  </si>
  <si>
    <t>Exploiting Structure in CSP-Related Problems</t>
  </si>
  <si>
    <t>Färnqvist, Tommy</t>
  </si>
  <si>
    <t>Electronic Properties of Intrinsic Defects and Impurities in GaN</t>
  </si>
  <si>
    <t>Duc, Tran Thien</t>
  </si>
  <si>
    <t>Deciding on Sourcing Option for Hosting of Software Applications in Organisations</t>
  </si>
  <si>
    <t>Johansson, Bjö</t>
  </si>
  <si>
    <t>Urban Consolidation Centres : On Relationships Between Customer Needs and Services in City Logistics</t>
  </si>
  <si>
    <t>Logistics Service Providers Going Green : Insights from the Swedish Market</t>
  </si>
  <si>
    <t>Isaksson, Karin</t>
  </si>
  <si>
    <t>Fear Is in the Air : Midwives´ Perspectives of Fear of Childbirth and Childbirth Self-Efficacy and Fear of Childbirth in Nulliparous Pregnant Women</t>
  </si>
  <si>
    <t>Salomonsson, Birgitta</t>
  </si>
  <si>
    <t>Integration of Epigenetic, Transcriptomic and Proteomic Data</t>
  </si>
  <si>
    <t>Zenere, Alberto</t>
  </si>
  <si>
    <t>Innovation in Complex Products and Systems (CoPS) : The Coordination of Technology Development Within Networks and Projects</t>
  </si>
  <si>
    <t>Franca, José Adalberto</t>
  </si>
  <si>
    <t>MYC and MexR Interactions with DNA : A Small Angle Scattering Perspective</t>
  </si>
  <si>
    <t>Caporaletti, Francesca</t>
  </si>
  <si>
    <t>Haptic Interaction with Deformable Objects</t>
  </si>
  <si>
    <t>Kocak, Umut</t>
  </si>
  <si>
    <t>Kriget är Inte över Förrän Den Sista Soldaten är Begraven : Minnesarbete Och Gemenskap Kring Andra Världskriget I S:t Petersburg Med Omnejd</t>
  </si>
  <si>
    <t>Dahlin, Johanna</t>
  </si>
  <si>
    <t>Towards Safer Care in Sweden? : Studies of Influences on Patient Safety</t>
  </si>
  <si>
    <t>Ridelberg, Mikaela</t>
  </si>
  <si>
    <t>Nitride Thin Films for Thermoelectric Applications : Synthesis, Characterization and Theoretical Predictions</t>
  </si>
  <si>
    <t>Modelling-Based Teaching in Chemistry in a Multilingual Context : A Tool to Explore and Visualise the Non-Spontaneous and Abstract?</t>
  </si>
  <si>
    <t>Widing, Lizette</t>
  </si>
  <si>
    <t>Implementing an Integrated Product Service Offering Design Method for Complex Products and Systems</t>
  </si>
  <si>
    <t>Taabodi, Amir</t>
  </si>
  <si>
    <t>Corruption Risks in a Mature Democracy : Mechanisms of Social Advantage and Danger Zones for Corruption</t>
  </si>
  <si>
    <t>Wittberg, Emanuel</t>
  </si>
  <si>
    <t>Probabilistic Modeling for Positioning Applications Using Inertial Sensors</t>
  </si>
  <si>
    <t>The Involvement of Degradation Pathways and Neuron-To-neuron Transmission in Alzheimer's Disease</t>
  </si>
  <si>
    <t>Agholme, Lotta</t>
  </si>
  <si>
    <t>Optimal Decomposition in Real Interpolation and Duality in Convex Analysis</t>
  </si>
  <si>
    <t>Niyobuhungiro, Japhet</t>
  </si>
  <si>
    <t>Therapy Talk and Talk about Therapy : Client-Identified Important Events in Psychotherapy</t>
  </si>
  <si>
    <t>Viklund, Erika</t>
  </si>
  <si>
    <t>Chewing Gum and Human Hair As Retrospective Dosimeters</t>
  </si>
  <si>
    <t>Israelsson, Axel</t>
  </si>
  <si>
    <t>Pilegrim, Turist Og Elev : Norske Skoleturer Til døds- Og Konsentrasjonsleirer</t>
  </si>
  <si>
    <t>Kverndokk, Kyrre</t>
  </si>
  <si>
    <t>Evaluation of a Family-Based Behavioural Intervention Programme for Children with Obesity</t>
  </si>
  <si>
    <t>Teder, Marie</t>
  </si>
  <si>
    <t>Svensk-Franska Förhandlingar : Bland Sprätthökar Och Franska Flugor I Svenskt 1700-Tal</t>
  </si>
  <si>
    <t>Karlsson, Rickard</t>
  </si>
  <si>
    <t>Mesoporous Transition Metal Oxides for Oxygen Electrocatalysis in Energy Conversion Technologies</t>
  </si>
  <si>
    <t>Wu, Zhixing</t>
  </si>
  <si>
    <t>Learning to Be(come) a Good European : A Critical Analysis of the Official European Union Discourse on European Identity and Higher Education</t>
  </si>
  <si>
    <t>Johansson, Jonna</t>
  </si>
  <si>
    <t>System Studies of Forest-Based Biomass Gasification</t>
  </si>
  <si>
    <t>Wetterlund, Elisabeth</t>
  </si>
  <si>
    <t>Factors Influencing the Choice Between Road and Multimodal Transportation</t>
  </si>
  <si>
    <t>Heljedal, Martin</t>
  </si>
  <si>
    <t>Optimal Design of Neuro-Mechanical Networks</t>
  </si>
  <si>
    <t>Thore, Carl-Johan</t>
  </si>
  <si>
    <t>Learning Manual and Procedural Clinical Skills Through Simulation in Health Care Education</t>
  </si>
  <si>
    <t>Johannesson, Eva</t>
  </si>
  <si>
    <t>Tekniklärares Attityder till Teknikämnet Och Teknikundervisningen</t>
  </si>
  <si>
    <t>Charlotta, Nordlöf</t>
  </si>
  <si>
    <t>Institutionally Shaped Response to the Introduction of National Guidelines : Case Studies in the Swedish Regional Health Policy Arena</t>
  </si>
  <si>
    <t>Sandberg, Johanna</t>
  </si>
  <si>
    <t>Optimizing Fault Tolerance for Real-Time Systems</t>
  </si>
  <si>
    <t>Nikolov, Dimitar</t>
  </si>
  <si>
    <t>Low Friction and Wear Resistant Carbon Nitride Thin Films for Rolling Components Grown by Magnetron Sputtering</t>
  </si>
  <si>
    <t>Bakoglidis, Konstantinos D.</t>
  </si>
  <si>
    <t>ZnO and CuO Nanostructures: Low Temperature Growth, Characterization, Their Optoelectronic and Sensing Applications</t>
  </si>
  <si>
    <t>Amin, Gul</t>
  </si>
  <si>
    <t>Strength Analysis and Modeling of Hybrid Composite-Aluminum Aircraft Structures</t>
  </si>
  <si>
    <t>Experimental Aspects on Chronic Whiplash-Associated Pain</t>
  </si>
  <si>
    <t>Lemming, Dag</t>
  </si>
  <si>
    <t>Optimization of Vehicle Structures under Uncertainties</t>
  </si>
  <si>
    <t>Shetty, Sandeep</t>
  </si>
  <si>
    <t>Performance Engineering of Mobile Broadband : Capacity Analysis, Cellular Network Optimization, and Design of in-Building Solutions</t>
  </si>
  <si>
    <t>Chen, Lei</t>
  </si>
  <si>
    <t>Methods and Tools for Efficient Model-Based Development of Cyber-Physical Systems with Emphasis on Model and Tool Integration</t>
  </si>
  <si>
    <t>Mengist, Alachew</t>
  </si>
  <si>
    <t>Phosphoproteomic Analysis of Arabidopsis Thaliana Ribosomes</t>
  </si>
  <si>
    <t>Klang Årstrand, Hanna</t>
  </si>
  <si>
    <t>Cooperative Transportation Planning and Cost Allocation</t>
  </si>
  <si>
    <t>Thermal Fatigue Life Prediction of Solder Joints in Avionics by Surrogate Modeling : A Contribution to Physics of Failure in Reliability Prediction</t>
  </si>
  <si>
    <t>Arwidson, Jonas</t>
  </si>
  <si>
    <t>Magnetron Sputter Epitaxy of GaN Epilayers and Nanorods</t>
  </si>
  <si>
    <t>Junaid, Muhammad</t>
  </si>
  <si>
    <t>Modelling of Fatigue Crack Propagation in Inconel 718 under Hold Time Conditions</t>
  </si>
  <si>
    <t>Lundström, Erik</t>
  </si>
  <si>
    <t>Immunopathogenic Aspects of Resolving and Progressing Appendicitis</t>
  </si>
  <si>
    <t>Rubér, Marie</t>
  </si>
  <si>
    <t>Pairs of Projections on a Hilbert Space:properties and Generalized Invertibility</t>
  </si>
  <si>
    <t>Patients' Perspectives on Recovery from Day Surgery</t>
  </si>
  <si>
    <t>Berg, Katarina</t>
  </si>
  <si>
    <t>Genetic Alterations in Lymphoma : With Focus on the Ikaros, NOTCH1 and BCL11B Genes</t>
  </si>
  <si>
    <t>Karlsson, Anneli</t>
  </si>
  <si>
    <t>A Rapid Differential Diagnostic Method for Detection of Post-Neurosurgical Infections</t>
  </si>
  <si>
    <t>Ramezani, Amir</t>
  </si>
  <si>
    <t>Preventing Infections Related to Central Venous and Arterial Catheters</t>
  </si>
  <si>
    <t>Hammarskjöld, Fredrik</t>
  </si>
  <si>
    <t>The Matter of Economic Evaluations in Health Policy Decision-Making : The Case of the Swedish National Guidelines for Heart Diseases</t>
  </si>
  <si>
    <t>Eckard, Nathalie</t>
  </si>
  <si>
    <t>Thermal Properties of Materials from First Principles</t>
  </si>
  <si>
    <t>Hellman, Olle</t>
  </si>
  <si>
    <t>Funktionshinder, Samtal Och Självbestämmande : En Studie Av Brukarcentrerade Möten</t>
  </si>
  <si>
    <t>Karlsson, Kristina</t>
  </si>
  <si>
    <t>Thermoelectric Properties of Conducting Polymers</t>
  </si>
  <si>
    <t>Bubnova, Olga</t>
  </si>
  <si>
    <t>Effects of Hearing Loss on Traffic Safety and Mobility</t>
  </si>
  <si>
    <t>Thorslund, Birgitta</t>
  </si>
  <si>
    <t>Creating and Enabling the Useful Service Discovery Experience : The Perfect Recommendation Does Not Exist</t>
  </si>
  <si>
    <t>Ingmarsson, Magnus</t>
  </si>
  <si>
    <t>Design of Energy-Efficient High-Performance ASIP-DSP Platforms</t>
  </si>
  <si>
    <t>Karlsson, Andréas</t>
  </si>
  <si>
    <t>Models and Methods for Costly Global Optimization and Military Decision Support Systems</t>
  </si>
  <si>
    <t>Quttineh, Nils-Hassan</t>
  </si>
  <si>
    <t>Inside the Miscibility Gap : Nanostructuring and Phase Transformations in Hard Nitride Coatings</t>
  </si>
  <si>
    <t>Johnson, Lars</t>
  </si>
  <si>
    <t>Lighting and Sensing Applications of Nanostructured ZnO, CuO and Their Composites</t>
  </si>
  <si>
    <t>Elsharif Zainelabdin, Ahmed ELtahir</t>
  </si>
  <si>
    <t>Optimization of Unmanned Aerial Vehicles : Expanding the Multidisciplinary Capabilities</t>
  </si>
  <si>
    <t>On Electroconvulsive Therapy in Depression : Clinical, Cognitive and Neurobiological Aspects</t>
  </si>
  <si>
    <t>Nordanskog, Pia</t>
  </si>
  <si>
    <t>Party Education As Mobilisation : Framing Education in Swedish and Spanish Political Parties of the Left</t>
  </si>
  <si>
    <t>Arriaza Hult, Maria</t>
  </si>
  <si>
    <t>Ethnicizing Employability : Governing the Unemployed in Labour Market Projects in Sweden</t>
  </si>
  <si>
    <t>Vesterberg, Viktor</t>
  </si>
  <si>
    <t>On the Implementation of Integer and Non-Integer Sampling Rate Conversion</t>
  </si>
  <si>
    <t>Abbas, Muhammad</t>
  </si>
  <si>
    <t>Controlled Growth of Hexagonal GaN Pyramids and InGaN QDs</t>
  </si>
  <si>
    <t>Lundskog, Anders</t>
  </si>
  <si>
    <t>Sampling Based Motion Planning for Heavy Duty Autonomous Vehicles</t>
  </si>
  <si>
    <t>Evestedt, Niclas</t>
  </si>
  <si>
    <t>Geographic Routing in Intermittently-Connected Mobile Ad Hoc Networks : Algorithms and Performance Models</t>
  </si>
  <si>
    <t>Kuiper, Erik</t>
  </si>
  <si>
    <t>Applied Geovisual Analytics and Storytelling</t>
  </si>
  <si>
    <t>Lundblad, Patrik</t>
  </si>
  <si>
    <t>Evaluating the Process of Change : Studies on Patient Journey, Hearing Disability Acceptance and Stages-Of-change</t>
  </si>
  <si>
    <t>C. Manchaiah, Vinaya K.</t>
  </si>
  <si>
    <t>Exploring Proactive Market Strategies : Managing the Market to Create Value</t>
  </si>
  <si>
    <t>Om Konsten Att överbrygga Gränser : En Fallstudie Om Kommunal äldreomsorg Och Samspelet Med Andra Organisationer</t>
  </si>
  <si>
    <t>Österström, Stefan</t>
  </si>
  <si>
    <t>Devising Capabilities : Service Design for Development Interventions</t>
  </si>
  <si>
    <t>Lambe, Fiona</t>
  </si>
  <si>
    <t>A Changing Arctic Climate : Science and Policy in the Arctic Climate Impact Assessment</t>
  </si>
  <si>
    <t>Nilsson, Annika E.</t>
  </si>
  <si>
    <t>Hur Kulturen Påverkar Svensk-Franska Affärsrelationer : En Studie Av Gemensamma Industriella Projekt Mellan SAAB Aerospace I Linköping Och Dassault Aviation I Paris</t>
  </si>
  <si>
    <t>Miciol, Frank-Gilles</t>
  </si>
  <si>
    <t>On the Asymptotic Spectral Distribution of Random Matrices : Closed Form Solutions Using Free Independence</t>
  </si>
  <si>
    <t>Pielaszkiewicz, Jolanta</t>
  </si>
  <si>
    <t>Towards Surgical Use of Matrix Metalloproteinase Biology</t>
  </si>
  <si>
    <t>Pasternak, Bjö</t>
  </si>
  <si>
    <t>Metaphyseal Fracture Healing</t>
  </si>
  <si>
    <t>Sandberg, Olof</t>
  </si>
  <si>
    <t>Tracking of Animals Using Airborne Cameras</t>
  </si>
  <si>
    <t>Extended-Spectrum Beta-lactamase Producing Enterobacteriaceae : Aspects on Detection, Epidemiology and Multi-Drug Resistance</t>
  </si>
  <si>
    <t>Tärnberg, Maria</t>
  </si>
  <si>
    <t>Cell Response to Imaging Contrast Agents Suggested for Atherosclerotic Plaque Imaging</t>
  </si>
  <si>
    <t>Laskar, Amit</t>
  </si>
  <si>
    <t>Evaluation of a Melanoma Screening Framework Based on Depth Resolved Light Scattering</t>
  </si>
  <si>
    <t>Majedy, Motasam</t>
  </si>
  <si>
    <t>Localization Using Magnetometers and Light Sensors</t>
  </si>
  <si>
    <t>Cognitive Capacities and Composite Cognitive Skills in Individuals with Usher Syndrome Type 1 And 2</t>
  </si>
  <si>
    <t>Henricson, Cecilia</t>
  </si>
  <si>
    <t>Mission Experience : How to Model and Capture It to Enable Vicarious Learning</t>
  </si>
  <si>
    <t>Andersson, Dennis</t>
  </si>
  <si>
    <t>Periodontitis and Coronary Artery Disease : Studies on the Association Between Periodontitis and Coronary Artery Disease</t>
  </si>
  <si>
    <t>Starkhammar Johansson, Carin</t>
  </si>
  <si>
    <t>Functional Extinctions of Species in Ecological Networks</t>
  </si>
  <si>
    <t>Säterberg, Torbjö</t>
  </si>
  <si>
    <t>Fluorescence Spectroscopy for Quantitative Demarcation of Glioblastoma Using 5-Aminolevulinic Acid</t>
  </si>
  <si>
    <t>Haj-Hosseini, Neda</t>
  </si>
  <si>
    <t>Assessment Meetings Between Care Managers and Persons Living with Dementia : Citizenship As Practice</t>
  </si>
  <si>
    <t>Österholm, Johannes H.</t>
  </si>
  <si>
    <t>Present Absences : Exploring the Posthumanist Entanglements of School Absenteeism</t>
  </si>
  <si>
    <t>Bodén, Linnea</t>
  </si>
  <si>
    <t>Elever På Ett Anpassat Individuellt Gymnasieprogram : Skolvardag Och Vändpunkter</t>
  </si>
  <si>
    <t>Hellberg, Kristina</t>
  </si>
  <si>
    <t>Everyday Mobility and Travel Activities During the First Years of Retirement</t>
  </si>
  <si>
    <t>Berg, Jessica</t>
  </si>
  <si>
    <t>Testing and Logic Optimization Techniques for Systems on Chip</t>
  </si>
  <si>
    <t>Bengtsson, Tomas</t>
  </si>
  <si>
    <t>Resource Allocation for Max-Min Fairness in Multi-Cell Massive MIMO</t>
  </si>
  <si>
    <t>van Chien, Trinh</t>
  </si>
  <si>
    <t>Stress in Chickens : Effects of Domestication and Early Experience on Behaviour and Welfare</t>
  </si>
  <si>
    <t>Ericsson, Maria</t>
  </si>
  <si>
    <t>Averaging Level Control in the Presence of Frequent Inlet Flow Upsets</t>
  </si>
  <si>
    <t>Rosander, Peter</t>
  </si>
  <si>
    <t>Exploring Third-Party Logistics and Partnering in Construction : A Supply Chain Management Perspective</t>
  </si>
  <si>
    <t>Ekeskär, Andreas</t>
  </si>
  <si>
    <t>Efficient MIMO Detection Methods</t>
  </si>
  <si>
    <t>Čirkić, Mirsad</t>
  </si>
  <si>
    <t>Collaborative Multidisciplinary Design Optimization for Conceptual Design of Complex Products</t>
  </si>
  <si>
    <t>Synthesis of Orthogonally Functionalized Oligosaccharides for Self-Assembled Monolayers and As Multimodal Tools in Chemical Biology</t>
  </si>
  <si>
    <t>Fyrner, Timmy</t>
  </si>
  <si>
    <t>On Informative Path Planning for Tracking and Surveillance</t>
  </si>
  <si>
    <t>Epidemiology, Radiology and Histology of Atypical Femoral Fractures : Development of Understanding</t>
  </si>
  <si>
    <t>Schilcher, Jörg</t>
  </si>
  <si>
    <t>The Rehabilitation Process for Individuals with Musculoskeletal and Mental Disorders : Evaluation of Health, Functioning, Work Ability and Return to Work</t>
  </si>
  <si>
    <t>Wåhlin, Charlotte</t>
  </si>
  <si>
    <t>Att Kommunicera Naturvetenskap I Nationella Prov : En Studie Med Andraspråksperspektiv</t>
  </si>
  <si>
    <t>Eriksson, Maria</t>
  </si>
  <si>
    <t>The Role of Interleukin-6 in the Febrile Response</t>
  </si>
  <si>
    <t>Hamzic, Namik</t>
  </si>
  <si>
    <t>Loneliness among Older People in the Swedish Media : Constructions, Discourses and the Designation of Responsibility</t>
  </si>
  <si>
    <t>Ett lärorikt Arbete? : Möjligheter Och Hinder För Undersköterskor Att lära Och Utvecklas I Sjukvårdsarbetet</t>
  </si>
  <si>
    <t>Byström, Erica</t>
  </si>
  <si>
    <t>System Identification of an Engine-Load Setup Using Grey-box Model</t>
  </si>
  <si>
    <t>Nickmehr, Neda</t>
  </si>
  <si>
    <t>Dynamics of Ecological Communities in Variable Environments : Local and Spatial Processes</t>
  </si>
  <si>
    <t>Kaneryd, Linda</t>
  </si>
  <si>
    <t>On Men and Cars : An Ethnographic Study of Gendered, Risky and Dangerous Relations</t>
  </si>
  <si>
    <t>Balkmar, Dag</t>
  </si>
  <si>
    <t>På Plats I Historien : Studier Av Hembygsföreningar På 2000-Talet</t>
  </si>
  <si>
    <t>Chlorine Cycling in Terrestrial Environments</t>
  </si>
  <si>
    <t>Montelius, Malin</t>
  </si>
  <si>
    <t>Experimental and Numerical Investigations of a Ventilation Strategy - Impinging Jet Ventilation for an Office Environment</t>
  </si>
  <si>
    <t>Chen, Huijuan</t>
  </si>
  <si>
    <t>Governance and Development of the East African Community : The Ethical Sustainability Framework</t>
  </si>
  <si>
    <t>Kanakulya, Dickson</t>
  </si>
  <si>
    <t>Code Generation and Global Optimization Techniques for a Reconfigurable PRAM-NUMA Multicore Architecture</t>
  </si>
  <si>
    <t>Hansson, Erik</t>
  </si>
  <si>
    <t>Networks and Epidemics : Impact of Network Structure on Disease Transmission</t>
  </si>
  <si>
    <t>Lennartsson, Jenny</t>
  </si>
  <si>
    <t>Fibroblast Differentiation and Models of Human Skin</t>
  </si>
  <si>
    <t>Rakar, Jonathan</t>
  </si>
  <si>
    <t>On High-Speed Digital-To-Analog Converters and Semi-Digital FIR Filters</t>
  </si>
  <si>
    <t>Analysis of Travel Patterns from Cellular Network Data</t>
  </si>
  <si>
    <t>Collaborative Development of Resource Efficient District Heating in Sweden</t>
  </si>
  <si>
    <t>Persson, Sofia</t>
  </si>
  <si>
    <t>A Theoretical Investigation of Ti N+1 AlC N and Mn 2 GaC MAX Phases : Phase Stability and Materials Properties</t>
  </si>
  <si>
    <t>On Massive MIMO for Massive Machine-Type Communications</t>
  </si>
  <si>
    <t>Immunological Mechanisms and Natalizumab Treatment in Multiple Sclerosis : Studies on Lymphocytes, Inflammatory Markers and Magnetic Resonance Spectroscopy</t>
  </si>
  <si>
    <t>Mellergård, Johan</t>
  </si>
  <si>
    <t>Electron Paramagnetic Resonance Studies of Negative-U Centers in AlGaN and SiC</t>
  </si>
  <si>
    <t>Trinh, Xuan Thang</t>
  </si>
  <si>
    <t>Group Classification of Linear Schrödinger Equations by the Algebraic Method</t>
  </si>
  <si>
    <t>Kurujyibwami, Célestin</t>
  </si>
  <si>
    <t>Simulations</t>
  </si>
  <si>
    <t>Svensson, Henrik</t>
  </si>
  <si>
    <t>Shortest Path Routing Modelling, Infeasibility and Polyhedra</t>
  </si>
  <si>
    <t>Call, Mikael</t>
  </si>
  <si>
    <t>Biologically-Based Interactive Neural Network Models for Visual Attention and Object Recognition</t>
  </si>
  <si>
    <t>Saifullah, Mohammad</t>
  </si>
  <si>
    <t>On Massive MIMO Base Stations with Low-End Hardware</t>
  </si>
  <si>
    <t>Individually Tailored Internet-Based Cognitive Behavioural Therapy for Adolescents, Young Adults and Older Adults with Anxiety</t>
  </si>
  <si>
    <t>Silfvernagel, Kristin</t>
  </si>
  <si>
    <t>Epilepsy in Young Adulthood : Medical, Psychosocial and Functional Aspects</t>
  </si>
  <si>
    <t>Gauffin, Helena</t>
  </si>
  <si>
    <t>Timing-Based Localization Using Multipath Information</t>
  </si>
  <si>
    <t>Bergström, Andreas</t>
  </si>
  <si>
    <t>Valence Electron Energy Loss Spectroscopy of III-Nitride Semiconductors</t>
  </si>
  <si>
    <t>Palisaitis, Justinas</t>
  </si>
  <si>
    <t>Förskollärare Planerar Barns Möten Med Matematik : Ett Reflektivt Skoldidaktiskt Perspektiv</t>
  </si>
  <si>
    <t>Rostedt, Josefin</t>
  </si>
  <si>
    <t>Styrning Av Lokala Integrationsprogram : Institutioner, Nätverk Och Professionella Normer Inom Det Svenska Flyktingmottagandet</t>
  </si>
  <si>
    <t>Qvist, Martin</t>
  </si>
  <si>
    <t>Demand for Rapid and Accurate Regional Medical Response at Major Incidents</t>
  </si>
  <si>
    <t>Nilsson, Heléne</t>
  </si>
  <si>
    <t>Designing for Legitimacy : Policy Work and the Art of Juggling When Setting Limits in Health Care</t>
  </si>
  <si>
    <t>Nedlund, Ann-Charlotte</t>
  </si>
  <si>
    <t>Pressure Control in Hydraulic Power Steering Systems</t>
  </si>
  <si>
    <t>Varför Blev Det (bara) En? : En Studie Av en Offentlig Marknad I Förändring</t>
  </si>
  <si>
    <t>Yttermyr, Olga</t>
  </si>
  <si>
    <t>Insulin Signaling in Human Adipocytes a Systems Biology Approach</t>
  </si>
  <si>
    <t>Brännmark, Cecilia</t>
  </si>
  <si>
    <t>Energy-Efficient Data Converters for Low-Power Sensors</t>
  </si>
  <si>
    <t>Chen, Kairang</t>
  </si>
  <si>
    <t>How Do Biogas Solutions Influence the Sustainability of Bio-Based Industrial Systems?</t>
  </si>
  <si>
    <t>On Material Modelling of High Strength Steel Sheets</t>
  </si>
  <si>
    <t>Larsson, Rikard</t>
  </si>
  <si>
    <t>Biochemical and Pharmacokinetic Studies in Vivo in Parkinson's Disease</t>
  </si>
  <si>
    <t>Zsigmond, Peter</t>
  </si>
  <si>
    <t>A Zero-Vision for Children's Tobacco Smoke Exposure : Tobacco Prevention in Child Health Care</t>
  </si>
  <si>
    <t>Carlsson, Noomi</t>
  </si>
  <si>
    <t>Visual Aesthetics in Product Development : A Balance Between Commercial and Creative Imperatives</t>
  </si>
  <si>
    <t>Lindahl, Ingela</t>
  </si>
  <si>
    <t>Mellanchefer Som Utvecklar : Om Förutsättningar För Hållbart Utvecklingsarbete Inom Vård Och Omsorg</t>
  </si>
  <si>
    <t>Larsson, Kjerstin</t>
  </si>
  <si>
    <t>Discrete Event Simulation of Bus Terminals</t>
  </si>
  <si>
    <t>Lindberg, Therese</t>
  </si>
  <si>
    <t>From Higher Education to Professional Practice : A Comparative Study of Physicians' and Engineers' Learning and Competence Use</t>
  </si>
  <si>
    <t>Nilsson, Staffan</t>
  </si>
  <si>
    <t>The Role of Nitric Oxide in Host Defence Against Mycobacterium Tuberculosis : Clinical and Experimental Studies</t>
  </si>
  <si>
    <t>Idh, Jonna</t>
  </si>
  <si>
    <t>Clinical and Patient-Reported Outcomes after Anterior Cervical Decompression and Fusion Surgery : A Focus on Functioning and Daily Life</t>
  </si>
  <si>
    <t>Hermansen, Anna</t>
  </si>
  <si>
    <t>The FLT3 Tyrosine Kinase in Leukemia : Deciphering the Downstream Signaling Events and Drug-Escape Mechanisms</t>
  </si>
  <si>
    <t>Nordigården, Amanda</t>
  </si>
  <si>
    <t>Investigation of Deep Levels in Bulk GaN</t>
  </si>
  <si>
    <t>Physical Activity on Prescription with Access to Counsellor Support Implemented in Routine Care : Healthcare and Patient Perspectives</t>
  </si>
  <si>
    <t>Andersen, Pia</t>
  </si>
  <si>
    <t>Carbon Nitride and Carbon Fluoride Thin Films Prepared by HiPIMS</t>
  </si>
  <si>
    <t>Schmidt, Susann</t>
  </si>
  <si>
    <t>Emission Estimation Based on Traffic Models and Measurements</t>
  </si>
  <si>
    <t>Mind Your Language, All Right? Performance-Dependent Neural Patterns of Language</t>
  </si>
  <si>
    <t>van Ettinger-Veenstra, Helene</t>
  </si>
  <si>
    <t>A Ventilation Strategy Based on Confluent Jets : An Experimental and Numerical Study</t>
  </si>
  <si>
    <t>Janbakhsh, Setareh</t>
  </si>
  <si>
    <t>Mean-Variance Portfolio Optimization : Eigendecomposition-Based Methods</t>
  </si>
  <si>
    <t>Mayambala, Fred</t>
  </si>
  <si>
    <t>On the Performance of Massive MIMO Systems with Single Carrier Transmission and Phase Noise</t>
  </si>
  <si>
    <t>Modeling and Optimization for Critical Vehicle Maneuvers</t>
  </si>
  <si>
    <t>Lundahl, Kristoffer</t>
  </si>
  <si>
    <t>Text Harmonization Strategies for Phrase-Based Statistical Machine Translation</t>
  </si>
  <si>
    <t>Stymne, Sara</t>
  </si>
  <si>
    <t>Experiments and Modelling of Composite-Aluminium Bolted Joints</t>
  </si>
  <si>
    <t>Wemming, Hannes</t>
  </si>
  <si>
    <t>Exploring Product Life-Cycle Information Flows with a Focus on Remanufacturing</t>
  </si>
  <si>
    <t>Lindkvist, Louise</t>
  </si>
  <si>
    <t>Influence of Intermolecular Order at the Interfaces</t>
  </si>
  <si>
    <t>Sehati, Parisa</t>
  </si>
  <si>
    <t>Global Pose Estimation from Aerial Images : Registration with Elevation Models</t>
  </si>
  <si>
    <t>Hörselscreening Av en Population Med Utvecklingsstörning : Utvärdering Av Psykoakustisk Testmetod Och Av OAE-Registrering Som Komplementär Metod</t>
  </si>
  <si>
    <t>Andersson, Eva</t>
  </si>
  <si>
    <t>Clinical Aspects of Childbirth-Related Anxiety</t>
  </si>
  <si>
    <t>Nieminen, Katri</t>
  </si>
  <si>
    <t>Multi-Threaded Distributed System Simulations : Using Bi-Lateral Delay Lines</t>
  </si>
  <si>
    <t>Microscopic Modeling and Simulation of Pedestrian Traffic</t>
  </si>
  <si>
    <t>In the Company of Ghosts : Hauntology, Ethics, Digital Monsters</t>
  </si>
  <si>
    <t>Henriksen, Line</t>
  </si>
  <si>
    <t>Authentication in Quantum Key Distribution : Security Proof and Universal Hash Functions</t>
  </si>
  <si>
    <t>Abidin, Aysajan</t>
  </si>
  <si>
    <t>Co-Creation in Healthcare Service Development : A Diary-Based Approach</t>
  </si>
  <si>
    <t>Engström, Jon</t>
  </si>
  <si>
    <t>Development of Theoretical Approaches for Post-Silicon Information Processing</t>
  </si>
  <si>
    <t>Ivády, Viktor</t>
  </si>
  <si>
    <t>Liminality at Work : Mobile Project Workers In-Between</t>
  </si>
  <si>
    <t>Borg, Elisabeth</t>
  </si>
  <si>
    <t>Parameter Estimation for Mobile Positioning Applications</t>
  </si>
  <si>
    <t>Immune Regulation During Pregnancy in Relation to Allergy and in Women Undergoing in Vitro Fertilization</t>
  </si>
  <si>
    <t>Persson, Marie</t>
  </si>
  <si>
    <t>Neck-Specific Exercise with or Without a Behavioural Approach, or Prescription of Physical Activity in Chronic Whiplash Associated Disorders</t>
  </si>
  <si>
    <t>Landén Ludvigsson, Maria</t>
  </si>
  <si>
    <t>Goal Function Approach to Growth and Remodeling of Arteries</t>
  </si>
  <si>
    <t>Satha, Ganarupan</t>
  </si>
  <si>
    <t>Norovirus and Rotavirus Susceptibility : Studies from a Nicaraguan Birth Cohort</t>
  </si>
  <si>
    <t>Reyes, Yaoska</t>
  </si>
  <si>
    <t>Image Analysis and Visualization of the Human Mastoid Air Cell System</t>
  </si>
  <si>
    <t>Empowering Knowledge and Quality of Recovery after Hip or Knee Replacement</t>
  </si>
  <si>
    <t>Johansson Stark, Åsa</t>
  </si>
  <si>
    <t>Entering Renewable Electricity Production : An Actor Perspective</t>
  </si>
  <si>
    <t>Organisatoriska Bakslag : Mer än Tio år Av Förändringar I Två Svenska Kommuner</t>
  </si>
  <si>
    <t>Jonsson, Robert</t>
  </si>
  <si>
    <t>Thin Film and Plasma Characterization of PVD Oxides</t>
  </si>
  <si>
    <t>ZrB 2 Thin Films : Growth and Characterization</t>
  </si>
  <si>
    <t>De Va Svinhögt Typ 250 Kilo : Förskolebarns Mätande Av längd, Volym Och Tid I Legoleken</t>
  </si>
  <si>
    <t>Albinsson, Anders</t>
  </si>
  <si>
    <t>Mechanistic Investigations of Chemical Reactions on 2D MXenes and Metal Surfaces from First-Principles</t>
  </si>
  <si>
    <t>Niu, Kaifeng</t>
  </si>
  <si>
    <t>Ordo Ab Chao : Den Politiska Historien Om Biodrivmedel I Den Europeiska Unionen - Aktörer, Nätverk Och Strategier</t>
  </si>
  <si>
    <t>Nordangård, Jacob</t>
  </si>
  <si>
    <t>Fångenskap Och Flykt : Om Frihetstemat I Svensk Barndomsskildring, Reseskildring Och Science Fiction Decennierna Kring 1970</t>
  </si>
  <si>
    <t>Landgraf, Svante</t>
  </si>
  <si>
    <t>Den Ojämlika Dödligheten : Hjärtdödlighet Och Samhällsutveckling I Två Städer</t>
  </si>
  <si>
    <t>Eczema in Young Children : Aspects of Clinical Investigation and Treatment</t>
  </si>
  <si>
    <t>Norrman, Gunilla</t>
  </si>
  <si>
    <t>Electron Transport, Interaction and Spin in Graphene and Graphene Nanoribbons</t>
  </si>
  <si>
    <t>Shylau, Artsem</t>
  </si>
  <si>
    <t>Chemical Speciation of Sulfur and Metals in Biogas Reactors : Implications for Cobalt and Nickel Bio-Uptake Processes</t>
  </si>
  <si>
    <t>Shakeri Yekta, Sepehr</t>
  </si>
  <si>
    <t>Restructuring the Socially Anxious Brain : Using Magnetic Resonance Imaging to Advance Our Understanding of Effective Cognitive Behaviour Therapy for Social Anxiety Disorder</t>
  </si>
  <si>
    <t>Månsson, Kristoffer N. T.</t>
  </si>
  <si>
    <t>PKB/Akt Kinase Localization and Role in Stemness Maintenance in Cancer</t>
  </si>
  <si>
    <t>Jain, Mayur Vilas</t>
  </si>
  <si>
    <t>Microbial Transformation of Organotin Compounds under Simulated Landfill Conditions</t>
  </si>
  <si>
    <t>Bjö, Annika</t>
  </si>
  <si>
    <t>Cardiovascular Regulation in Women with Vasovagal Syncope : With Special Reference to the Venous System</t>
  </si>
  <si>
    <t>Skoog, Johan</t>
  </si>
  <si>
    <t>The Enzymatic Machinery of Leukotriene Biosynthesis : Studies on Ontogenic Expression, Interactions and Function</t>
  </si>
  <si>
    <t>Strid, Tobias</t>
  </si>
  <si>
    <t>Dynamics in Blue Emitting Metal Halide Perovskites for Light Emitting Diodes</t>
  </si>
  <si>
    <t>Karlsson, Max</t>
  </si>
  <si>
    <t>Design of VCO-Based ADCs</t>
  </si>
  <si>
    <t>Unnikrishnan, Vishnu</t>
  </si>
  <si>
    <t>Defects in Titanium Aluminum Nitride-Based Thin Films</t>
  </si>
  <si>
    <t>Salamania, Janella</t>
  </si>
  <si>
    <t>Studies on Spatial and Temporal Distributions of Epiphytic Lichens</t>
  </si>
  <si>
    <t>Lättman, Håkan</t>
  </si>
  <si>
    <t>Towards an Ontology Design Pattern Quality Model</t>
  </si>
  <si>
    <t>Cognitive Erosion and Its Implications in Alzheimer's Disease</t>
  </si>
  <si>
    <t>Mårdh, Selina</t>
  </si>
  <si>
    <t>Optical and Structural Characterization of GaN Based Hybrid Structures and Nanorods</t>
  </si>
  <si>
    <t>What's in It for the Provider? : A Lifecycle-Focused Approach Towards Designing for Value in Product-Service Systems</t>
  </si>
  <si>
    <t>Det Självklara Företagandet? : Kvinnors Företagande I Veterinärprofessionen</t>
  </si>
  <si>
    <t>Reactive High Power Impulse Magnetron Sputtering of Metal Oxides</t>
  </si>
  <si>
    <t>Aiempanakit, Montri</t>
  </si>
  <si>
    <t>Some Results on Closed-Loop Identification of Quadcopters</t>
  </si>
  <si>
    <t>Ho, Du</t>
  </si>
  <si>
    <t>Infective Endocarditis : Aspects of Pathophysiology, Epidemiology, Management and Prognosis</t>
  </si>
  <si>
    <t>Ekdahl, Christer</t>
  </si>
  <si>
    <t>Towards Optimal Railway Track Utilization Based on Societal Benefit</t>
  </si>
  <si>
    <t>Svedberg, Victoria</t>
  </si>
  <si>
    <t>Entreprenörskap I Skolan : Formulering Och Transformering Av GY11 Inom Gymnasieskolans Hantverksprogram</t>
  </si>
  <si>
    <t>Wallin, Jessica</t>
  </si>
  <si>
    <t>Health Care Customer Creativity</t>
  </si>
  <si>
    <t>Term Structure Estimation Based on a Generalized Optimization Framework</t>
  </si>
  <si>
    <t>Ndengo Rugengamanzi, Marcel</t>
  </si>
  <si>
    <t>Synthesis, Surface Modification, and Characterization of Metal Oxide Nanoparticles : Nanoprobes for Signal Enhancement in Biomedical Imaging</t>
  </si>
  <si>
    <t>Selegård, Linnéa</t>
  </si>
  <si>
    <t>Lab Work in Science Education : Instruction, Inscription, and the Practical Achievement of Understanding</t>
  </si>
  <si>
    <t>Lindwall, Oskar</t>
  </si>
  <si>
    <t>Systems Analysis for Eco-Industrial Development : Applied on Cement and Biogas Production Systems</t>
  </si>
  <si>
    <t>Quality Improvement in Healthcare : Experiences from a Swedish County Council Initiative</t>
  </si>
  <si>
    <t>Andersson, Ann-Christine</t>
  </si>
  <si>
    <t>Extended-Spectrum ß-Lactamase-Producing Enterobacteriaceae : Antibiotic Consumption, Detection and Resistance Epidemiology</t>
  </si>
  <si>
    <t>Östholm Balkhed, Åse</t>
  </si>
  <si>
    <t>Experiencing Molecular Processes : The Role of Representations for Students' Conceptual Understanding</t>
  </si>
  <si>
    <t>Larsson, Caroline</t>
  </si>
  <si>
    <t>Analysis of Dynamics of the Tippe Top</t>
  </si>
  <si>
    <t>Rutstam, Nils</t>
  </si>
  <si>
    <t>Effects of Exercise in Different Phases after Stroke</t>
  </si>
  <si>
    <t>Sandberg, Klas</t>
  </si>
  <si>
    <t>Robotic Companionship : The Making of Anthropomatic Kitchen Robots in Queer Feminist Technoscience Perspective</t>
  </si>
  <si>
    <t>Public e-Service Stakeholders : A Study on Who Matters for Public e-Service Development and Implementation</t>
  </si>
  <si>
    <t>Lindgren, Ida</t>
  </si>
  <si>
    <t>Why Don't We Mine the Landfills?</t>
  </si>
  <si>
    <t>Sublimation Growth and Performance of Cubic Silicon Carbide</t>
  </si>
  <si>
    <t>Vasiliauskas, Remigijus</t>
  </si>
  <si>
    <t>Structural Studies of Oligo(ethylene Glycol)-Containing Assemblies on Gold</t>
  </si>
  <si>
    <t>Lee, Hung-Hsun</t>
  </si>
  <si>
    <t>Thermal and Mechanical Behaviors of High Temperature Coatings</t>
  </si>
  <si>
    <t>Yuan, Kang</t>
  </si>
  <si>
    <t>Efficient Optimization of Complex Products : A Simulation and Surrogate Model Based Approach</t>
  </si>
  <si>
    <t>Quality Improvement in the Care of Patients with Inflammatory Bowel Disease</t>
  </si>
  <si>
    <t>Rejler, Martin</t>
  </si>
  <si>
    <t>Enhancing Physics Learning Through Instruction, Technical Vocabulary and ICT : A Case of Higher Education in Rwanda</t>
  </si>
  <si>
    <t>Rusanganwa, Joseph</t>
  </si>
  <si>
    <t>Risk-Neutral and Physical Estimation of Equity Market Volatility</t>
  </si>
  <si>
    <t>Comparisons Between Classical and Quantum Mechanical Nonlinear Lattice Models</t>
  </si>
  <si>
    <t>Whirling Stories : Postsocialist Feminist Imaginaries and the Visual Arts</t>
  </si>
  <si>
    <t>Koobak, Redi</t>
  </si>
  <si>
    <t>Understanding Solution Quality</t>
  </si>
  <si>
    <t>Individriktad Brottsprevention : Om SSPF Och Viljan Att Samverka</t>
  </si>
  <si>
    <t>Söderberg, Christina</t>
  </si>
  <si>
    <t>Towards a Framework for Process Mapping and Performance Measurement in Construction Supply Chains</t>
  </si>
  <si>
    <t>Freshwater Methane and Carbon Dioxide Fluxes : Spatio-Temporal Variability and an Integrated Assessment of Lake and Stream Emissions in a Catchment</t>
  </si>
  <si>
    <t>Natchimuthu, Sivakiruthika</t>
  </si>
  <si>
    <t>Heart Failure : Biomarker Effect and Influence on Quality of Life</t>
  </si>
  <si>
    <t>Karlström, Patric</t>
  </si>
  <si>
    <t>Modeling and Estimation for Dry Clutch Control</t>
  </si>
  <si>
    <t>Myklebust, Andreas</t>
  </si>
  <si>
    <t>Dry Clutch Modeling, Estimation, and Control</t>
  </si>
  <si>
    <t>Genetic Alterations in Pheochromocytoma and Paraganglioma</t>
  </si>
  <si>
    <t>Welander, Jenny</t>
  </si>
  <si>
    <t>Sociotechnical System Studies of the Reduction of Greenhouse Gas Emissions from Energy and Transport Systems</t>
  </si>
  <si>
    <t>Data-Driven Condition Monitoring in Mining Vehicles</t>
  </si>
  <si>
    <t>Theoretical Description of the Electron-Lattice Interaction in Molecular and Magnetic Crystals</t>
  </si>
  <si>
    <t>Investigating Adoption of Digital Technologies in Construction Projects</t>
  </si>
  <si>
    <t>Gholami, Yashar</t>
  </si>
  <si>
    <t>Methods Development for Metaproteomics-Guided Bioprospecting of Novel Enzymes</t>
  </si>
  <si>
    <t>Speda, Jutta</t>
  </si>
  <si>
    <t>Effects of Domestication Related Genes on Behaviour, Physiology and Gene Expression in Chickens</t>
  </si>
  <si>
    <t>Karlsson, Anna-Carin</t>
  </si>
  <si>
    <t>Detection and Tracking in Thermal Infrared Imagery</t>
  </si>
  <si>
    <t>Collision Threshold Pressure : A Novel Measure of Voice Function Effects of Vocal Warm-Up, Vocal Loading and Resonance Tube Phonation in Water</t>
  </si>
  <si>
    <t>Enflo, Laura</t>
  </si>
  <si>
    <t>Effect of Dwell-Times on Crack Propagation in Superalloys</t>
  </si>
  <si>
    <t>En Problematisering Av Ungdomars Intresse För Naturvetenskap Och Teknik I Skola Och Samhälle : Innehåll, Medierna Och Utbildningens Funktion</t>
  </si>
  <si>
    <t>Jidesjö, Anders</t>
  </si>
  <si>
    <t>Elevers Möjligheter till lärande Av Matematiska Resonemang</t>
  </si>
  <si>
    <t>Jäder, Jonas</t>
  </si>
  <si>
    <t>Optimization-Based Methods for Revising Train Timetables with Focus on Robustness</t>
  </si>
  <si>
    <t>Khoshniyat, Fahimeh</t>
  </si>
  <si>
    <t>Market, State, and Morality : Two Studies of How Left and Right Undermined Moral Motivation in the Swedish School System</t>
  </si>
  <si>
    <t>Tracking and Planning for Surveillance Applications</t>
  </si>
  <si>
    <t>Skoglar, Per</t>
  </si>
  <si>
    <t>Finite Element Analysis of Sheet Metal Assemblies : Prediction of Product Performance Considering the Manufacturing Process</t>
  </si>
  <si>
    <t>Govik, Alexander</t>
  </si>
  <si>
    <t>Advancing Evidence-Based Practice in Primary Care Physiotherapy : Guideline Implementation, Clinical Practice, and Patient Preferences</t>
  </si>
  <si>
    <t>Bernhardsson, Susanne</t>
  </si>
  <si>
    <t>Fields of Gold : The Bioenergy Debate in International Organizations</t>
  </si>
  <si>
    <t>Kuchler, Magdalena</t>
  </si>
  <si>
    <t>Nanostructured Carbon-Based Thin Films : Prediction and Design</t>
  </si>
  <si>
    <t>Goyenola, Cecilia</t>
  </si>
  <si>
    <t>Handledare Och Handledning : Gymnasial Yrkesutbildning På Förskola</t>
  </si>
  <si>
    <t>Exploring Organizational Translation : A Case Study of Changes Toward Lean Production</t>
  </si>
  <si>
    <t>Langstrand, Jostein</t>
  </si>
  <si>
    <t>Novel Reagentless Electrodes for Biosensing</t>
  </si>
  <si>
    <t>Sekretaryova, Alina</t>
  </si>
  <si>
    <t>On Standardized Model Integration : Automated Validation in Aircraft System Simulation</t>
  </si>
  <si>
    <t>Theoretical Studies of Natural Gas Hydrates and H-Bonded Clusters and Crystals</t>
  </si>
  <si>
    <t>Liu, Yuan</t>
  </si>
  <si>
    <t>Logistics Service Providers' Environmental Management</t>
  </si>
  <si>
    <t>Maack, Christina</t>
  </si>
  <si>
    <t>Architecture and Applications of a Geovisual Analytics Framework</t>
  </si>
  <si>
    <t>Ho, Quan</t>
  </si>
  <si>
    <t>Towards Concurrent Planning of Railway Maintenance and Train Services</t>
  </si>
  <si>
    <t>Decision Support for Emergency Response to Multiple Natural Hazards : Challenges and Needs</t>
  </si>
  <si>
    <t>Sköld Gustafsson, Viktor</t>
  </si>
  <si>
    <t>Men Do Care! : A Gender-Aware and Masculinity-informed Contribution to Caregiving Scholarship</t>
  </si>
  <si>
    <t>Wallroth, Veronika</t>
  </si>
  <si>
    <t>The Urk World : Hibernating Infrastructures and the Quest for Urban Mining</t>
  </si>
  <si>
    <t>Multidisciplinary Design Optimization of Automotive Structures</t>
  </si>
  <si>
    <t>Domeij Bäckryd, Rebecka</t>
  </si>
  <si>
    <t>Adaptive Supervision Online Learning for Vision Based Autonomous Systems</t>
  </si>
  <si>
    <t>Social Citizenship and People with Dementia : Designing Social Care Policies in Sweden</t>
  </si>
  <si>
    <t>Nordh, Jonas</t>
  </si>
  <si>
    <t>Barnlitteraturens Tekniklandskap : En Didaktisk Vandring Från Nils Holgersson till Pettson Och Findus</t>
  </si>
  <si>
    <t>Axell, Cecilia</t>
  </si>
  <si>
    <t>Structural and Magnetic Disorder in Crystalline Materials : A First Principles Study</t>
  </si>
  <si>
    <t>Improved Energy Efficiency and Fuel Substitution in the Iron and Steel Industry</t>
  </si>
  <si>
    <t>Johansson, Maria</t>
  </si>
  <si>
    <t>Making Sense of Environmental Values : Wetlands in Kenya</t>
  </si>
  <si>
    <t>Billgren, Charlotte</t>
  </si>
  <si>
    <t>Silicon Oxynitride Thin Films Grown by Reactive HiPIMS</t>
  </si>
  <si>
    <t>Multifunctional Nanocellulose Composite Materials</t>
  </si>
  <si>
    <t>Eskilson, Olof</t>
  </si>
  <si>
    <t>Coordinating the Internet</t>
  </si>
  <si>
    <t>Models and Critical Maneuvers for Road Vehicles</t>
  </si>
  <si>
    <t>Telephone Advice Nursing : Communication, Patient Satisfaction and Tool Development</t>
  </si>
  <si>
    <t>Johnson, Christina</t>
  </si>
  <si>
    <t>Experimental Studies on ErbB Targeted Therapy in Malignant Melanoma</t>
  </si>
  <si>
    <t>Severinsson, Emelie</t>
  </si>
  <si>
    <t>Optimization Based Decision Support Tools for Fire and Rescue Resource Planning</t>
  </si>
  <si>
    <t>Ulander, Anna</t>
  </si>
  <si>
    <t>Non-Invasive Assessment of Liver Fibrosis with 31 P-Magnetic Resonance Spectroscopy and Dynamic Contrast Enhanced Magnetic Resonance Imaging</t>
  </si>
  <si>
    <t>Norén, Bengt</t>
  </si>
  <si>
    <t>Facilitating Electron Transfer in Bioelectrocatalytic Systems</t>
  </si>
  <si>
    <t>Aspergern, Det är Jag : En Intervjustudie Om Att Leva Med Asperger Syndrom</t>
  </si>
  <si>
    <t>Larsson Abbad, Gunvor</t>
  </si>
  <si>
    <t>Early Life Factors and the Long-Term Development of Asthma</t>
  </si>
  <si>
    <t>Vogt, Hartmut</t>
  </si>
  <si>
    <t>Energy and Production Planning for Process Industry Supply Chains</t>
  </si>
  <si>
    <t>Waldemarsson, Martin</t>
  </si>
  <si>
    <t>The Role of Ion Channels and Intracellular Metal Ions in Apoptosis of Xenopus Oocytes</t>
  </si>
  <si>
    <t>Englund, Ulrika</t>
  </si>
  <si>
    <t>Genetic Mechanisms Controlling Cell Specification and Cell Numbers in the Drosophila CNS</t>
  </si>
  <si>
    <t>Ulvklo, Carina</t>
  </si>
  <si>
    <t>On the Branch Loci of Moduli Spaces of Riemann Surfaces</t>
  </si>
  <si>
    <t>Bartolini, Gabriel</t>
  </si>
  <si>
    <t>Dynamic Knowledge Integration : A Field Study of an Information Systems Development Project</t>
  </si>
  <si>
    <t>Wahlstedt, Linnéa</t>
  </si>
  <si>
    <t>Teknik I Förskolan - Att Motverka Traditionella Könsroller : En Aktionsforskningsstudie</t>
  </si>
  <si>
    <t>Exploring Process Management As a Means for Greening Road Freight Transport</t>
  </si>
  <si>
    <t>Navarro, Priscilla</t>
  </si>
  <si>
    <t>Neuroborreliosis in Childhood : Clinical, Immunological and Diagnostic Aspects</t>
  </si>
  <si>
    <t>Hedin Skogman, Barbro</t>
  </si>
  <si>
    <t>Importance of Microenvironment and Antigen in the Regulation of Growth and Survival of CLL Cells</t>
  </si>
  <si>
    <t>Bergh, Ann-Charlotte</t>
  </si>
  <si>
    <t>Frail and Elderly Hospital Patients : The Challenge of Participation in Medical Decision Making</t>
  </si>
  <si>
    <t>Wissendorff Ekdahl, Anne</t>
  </si>
  <si>
    <t>Mechanical Properties and Thermal Stability of Reactive Arc Evaporated Ti-Cr-Al-N Coatings</t>
  </si>
  <si>
    <t>Analogical Reasoning in Science Education : - Connections to Semantics and Scientific Modelling in Thermodynamics</t>
  </si>
  <si>
    <t>Haglund, Jesper</t>
  </si>
  <si>
    <t>Fundamental Aspects of HiPIMS under Industrial Conditions</t>
  </si>
  <si>
    <t>Samuelsson, Mattias</t>
  </si>
  <si>
    <t>A Global Linear Optimization Framework for Adaptive Filtering and Image Registration</t>
  </si>
  <si>
    <t>Johansson, Gustaf</t>
  </si>
  <si>
    <t>Molecular Mechanisms in Lymphoid Restriction : Securing the B Lineage Fate</t>
  </si>
  <si>
    <t>Åhsberg, Josefine</t>
  </si>
  <si>
    <t>Automatic and Explicit Parallelization Approaches for Mathematical Simulation Models</t>
  </si>
  <si>
    <t>Epidemiological Studies of Multiple Sclerosis in Sweden with Focus on the County of Värmland</t>
  </si>
  <si>
    <t>Boström, Inger</t>
  </si>
  <si>
    <t>Propofol Changes the Cytoskeletal Function in Neurons : An Experimental Study in Cortical Cultures</t>
  </si>
  <si>
    <t>Turina, Dean</t>
  </si>
  <si>
    <t>Pluripotent Dynamic Capabilities in the Internationalization of Firms : Focus on Learning, Innovating and Networking in SMEs from Sweden</t>
  </si>
  <si>
    <t>Growth in Established SMEs : Exploring the Innovative and Ambitious Firm</t>
  </si>
  <si>
    <t>Uddenberg, Anders</t>
  </si>
  <si>
    <t>Molecular Genetic Studies on Chronic Lymphocytic Leukemia and Acute Myeloid Leukemia - with Focus on Prognostic Markers</t>
  </si>
  <si>
    <t>Willander, Kerstin</t>
  </si>
  <si>
    <t>Time Flies in Primary Care : A Study on Time Utilisation and Perceived Psychosocial Work Environment</t>
  </si>
  <si>
    <t>Anskär, Eva</t>
  </si>
  <si>
    <t>Luminescence Properties of Flexible Conjugated Dyes</t>
  </si>
  <si>
    <t>Sjöqvist, Jonas</t>
  </si>
  <si>
    <t>Thin Film Synthesis of New Nanolaminated Ternary Carbides</t>
  </si>
  <si>
    <t>Lysosomal Membrane Permeabilization : A Cellular Suicide Strategy</t>
  </si>
  <si>
    <t>Johansson, Ann-Charlotte</t>
  </si>
  <si>
    <t>Additive Manufacturing Methods and Materials for Electrokinetic Systems</t>
  </si>
  <si>
    <t>Quantitative Analysis of Ambulance Location-Allocation and Ambulance State Prediction</t>
  </si>
  <si>
    <t>Thi Nguyen, Ngoc-Hien</t>
  </si>
  <si>
    <t>Simulation of Thermal Stresses in a Brake Disc</t>
  </si>
  <si>
    <t>Turbulent Flow in Constricted Blood Vessels : Quantification of Wall Shear Stress Using Large Eddy Simulation</t>
  </si>
  <si>
    <t>Gårdhagen, Roland</t>
  </si>
  <si>
    <t>Synthesis and Characterization of 2D Nanocrystals and Thin Films of Transition Metal Carbides (MXenes)</t>
  </si>
  <si>
    <t>Patient Involvement and Service Innovation in Healthcare</t>
  </si>
  <si>
    <t>Modeling for Control of Centrifugal Compressors</t>
  </si>
  <si>
    <t>Leufvén, Oskar</t>
  </si>
  <si>
    <t>Optimisation of off-Road Transport Missions</t>
  </si>
  <si>
    <t>Albrektsson, Jörgen</t>
  </si>
  <si>
    <t>Diagnosis and Supervision of Industrial Gas Turbines</t>
  </si>
  <si>
    <t>Larsson, Emil</t>
  </si>
  <si>
    <t>Optical Sensing with an Ordinary Mobile Phone</t>
  </si>
  <si>
    <t>Iqbal, Zafar</t>
  </si>
  <si>
    <t>Applying Sharia in the West : Facts, Fears and the Future of Islamic Rules on Family Relations in the West</t>
  </si>
  <si>
    <t>Berger, Maria</t>
  </si>
  <si>
    <t>Public Health in Asia During the COVID-19 Pandemic : Global Health Governance, Migrant Labour, and International Health Crises</t>
  </si>
  <si>
    <t>van der Veere, Anoma</t>
  </si>
  <si>
    <t>Collective Memory and the Dutch East Indies : Unremembering Decolonization</t>
  </si>
  <si>
    <t>M.M. Doolan, Paul</t>
  </si>
  <si>
    <t>How Things Make History : The Roman Empire and Its Terra Sigillata Pottery</t>
  </si>
  <si>
    <t>Embodiments of Evil : Gog and Magog: Interdisciplinary Studies of the Other in Literature and Internet Texts</t>
  </si>
  <si>
    <t>Seyed-Gohrab, Asghar</t>
  </si>
  <si>
    <t>The Story of Barzu : As Told by Two Storytellers from Boysun, Uzbekistan</t>
  </si>
  <si>
    <t>Rahmoni, Ravshan</t>
  </si>
  <si>
    <t>Czech Broadside Ballads As Text, Art, Song in Popular Culture, C. 1600-1900</t>
  </si>
  <si>
    <t>Fumerton, Patricia</t>
  </si>
  <si>
    <t xml:space="preserve">ProQuest Ebook Central </t>
  </si>
  <si>
    <t>Kitap Adı</t>
  </si>
  <si>
    <t>Yazar</t>
  </si>
  <si>
    <t>Yayıncı</t>
  </si>
  <si>
    <t>E-ISBN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</si>
</sst>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2"/>
      <color theme="1"/>
      <name val="Arial"/>
      <family val="2"/>
      <charset val="162"/>
    </font>
    <font>
      <sz val="10"/>
      <color theme="1"/>
      <name val="Arial"/>
      <family val="2"/>
      <charset val="162"/>
    </font>
    <font>
      <b/>
      <sz val="10"/>
      <color theme="1"/>
      <name val="Arial"/>
      <family val="2"/>
      <charset val="16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18" fillId="0" borderId="0" xfId="0" applyFont="1" applyAlignment="1">
      <alignment vertical="top"/>
    </xf>
    <xf numFmtId="0" fontId="19" fillId="0" borderId="0" xfId="0" applyFont="1" applyAlignment="1">
      <alignment vertical="top"/>
    </xf>
    <xf numFmtId="0" fontId="19" fillId="0" borderId="0" xfId="0" applyFont="1" applyAlignment="1">
      <alignment vertical="top" wrapText="1"/>
    </xf>
    <xf numFmtId="0" fontId="20" fillId="0" borderId="10" xfId="0" applyFont="1" applyBorder="1" applyAlignment="1">
      <alignment vertical="top" wrapText="1"/>
    </xf>
    <xf numFmtId="1" fontId="20" fillId="0" borderId="10" xfId="0" applyNumberFormat="1" applyFont="1" applyBorder="1" applyAlignment="1">
      <alignment vertical="top" wrapText="1"/>
    </xf>
    <xf numFmtId="0" fontId="20" fillId="0" borderId="10" xfId="0" applyFont="1" applyBorder="1" applyAlignment="1">
      <alignment vertical="top"/>
    </xf>
    <xf numFmtId="0" fontId="0" fillId="0" borderId="10" xfId="0" applyBorder="1" applyAlignment="1">
      <alignment vertical="top" wrapText="1"/>
    </xf>
    <xf numFmtId="0" fontId="0" fillId="0" borderId="10" xfId="0" applyBorder="1" applyAlignment="1">
      <alignment vertical="top"/>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63"/>
  <sheetViews>
    <sheetView tabSelected="1" workbookViewId="0">
      <selection activeCell="C2" sqref="C2"/>
    </sheetView>
  </sheetViews>
  <sheetFormatPr defaultRowHeight="15" x14ac:dyDescent="0.25"/>
  <cols>
    <col min="1" max="1" width="84.28515625" customWidth="1"/>
    <col min="2" max="2" width="42.7109375" customWidth="1"/>
    <col min="3" max="3" width="32.42578125" customWidth="1"/>
    <col min="4" max="4" width="14.140625" bestFit="1" customWidth="1"/>
  </cols>
  <sheetData>
    <row r="1" spans="1:4" ht="15.75" x14ac:dyDescent="0.25">
      <c r="A1" s="1" t="s">
        <v>16412</v>
      </c>
      <c r="B1" s="2"/>
      <c r="C1" s="2"/>
      <c r="D1" s="2"/>
    </row>
    <row r="2" spans="1:4" x14ac:dyDescent="0.25">
      <c r="A2" s="3"/>
      <c r="B2" s="3"/>
      <c r="C2" s="3"/>
      <c r="D2" s="2"/>
    </row>
    <row r="3" spans="1:4" x14ac:dyDescent="0.25">
      <c r="A3" s="4" t="s">
        <v>16413</v>
      </c>
      <c r="B3" s="4" t="s">
        <v>16414</v>
      </c>
      <c r="C3" s="5" t="s">
        <v>16415</v>
      </c>
      <c r="D3" s="6" t="s">
        <v>16416</v>
      </c>
    </row>
    <row r="4" spans="1:4" x14ac:dyDescent="0.25">
      <c r="A4" s="7" t="s">
        <v>3778</v>
      </c>
      <c r="B4" s="8" t="s">
        <v>3779</v>
      </c>
      <c r="C4" s="8" t="s">
        <v>1345</v>
      </c>
      <c r="D4" s="8" t="str">
        <f>"9783737604796"</f>
        <v>9783737604796</v>
      </c>
    </row>
    <row r="5" spans="1:4" ht="30" x14ac:dyDescent="0.25">
      <c r="A5" s="7" t="s">
        <v>14058</v>
      </c>
      <c r="B5" s="8" t="s">
        <v>14059</v>
      </c>
      <c r="C5" s="8" t="s">
        <v>13997</v>
      </c>
      <c r="D5" s="8" t="str">
        <f>"9789568416898"</f>
        <v>9789568416898</v>
      </c>
    </row>
    <row r="6" spans="1:4" x14ac:dyDescent="0.25">
      <c r="A6" s="7" t="s">
        <v>10480</v>
      </c>
      <c r="B6" s="8" t="s">
        <v>10481</v>
      </c>
      <c r="C6" s="8" t="s">
        <v>993</v>
      </c>
      <c r="D6" s="8" t="str">
        <f>"9783839457634"</f>
        <v>9783839457634</v>
      </c>
    </row>
    <row r="7" spans="1:4" x14ac:dyDescent="0.25">
      <c r="A7" s="7" t="s">
        <v>9306</v>
      </c>
      <c r="B7" s="8" t="s">
        <v>9307</v>
      </c>
      <c r="C7" s="8" t="s">
        <v>9256</v>
      </c>
      <c r="D7" s="8" t="str">
        <f>"9788021094628"</f>
        <v>9788021094628</v>
      </c>
    </row>
    <row r="8" spans="1:4" x14ac:dyDescent="0.25">
      <c r="A8" s="7" t="s">
        <v>10363</v>
      </c>
      <c r="B8" s="8" t="s">
        <v>10364</v>
      </c>
      <c r="C8" s="8" t="s">
        <v>993</v>
      </c>
      <c r="D8" s="8" t="str">
        <f>"9783839452578"</f>
        <v>9783839452578</v>
      </c>
    </row>
    <row r="9" spans="1:4" x14ac:dyDescent="0.25">
      <c r="A9" s="7" t="s">
        <v>514</v>
      </c>
      <c r="B9" s="8" t="s">
        <v>515</v>
      </c>
      <c r="C9" s="8" t="s">
        <v>355</v>
      </c>
      <c r="D9" s="8" t="str">
        <f>"9783110278736"</f>
        <v>9783110278736</v>
      </c>
    </row>
    <row r="10" spans="1:4" ht="30" x14ac:dyDescent="0.25">
      <c r="A10" s="7" t="s">
        <v>9154</v>
      </c>
      <c r="B10" s="8" t="s">
        <v>9155</v>
      </c>
      <c r="C10" s="8" t="s">
        <v>2082</v>
      </c>
      <c r="D10" s="8" t="str">
        <f>"9780472902606"</f>
        <v>9780472902606</v>
      </c>
    </row>
    <row r="11" spans="1:4" ht="30" x14ac:dyDescent="0.25">
      <c r="A11" s="7" t="s">
        <v>7687</v>
      </c>
      <c r="B11" s="8" t="s">
        <v>7688</v>
      </c>
      <c r="C11" s="8" t="s">
        <v>993</v>
      </c>
      <c r="D11" s="8" t="str">
        <f>"9783839429150"</f>
        <v>9783839429150</v>
      </c>
    </row>
    <row r="12" spans="1:4" x14ac:dyDescent="0.25">
      <c r="A12" s="7" t="s">
        <v>3408</v>
      </c>
      <c r="B12" s="8" t="s">
        <v>3409</v>
      </c>
      <c r="C12" s="8" t="s">
        <v>1345</v>
      </c>
      <c r="D12" s="8" t="str">
        <f>"9783737603935"</f>
        <v>9783737603935</v>
      </c>
    </row>
    <row r="13" spans="1:4" ht="30" x14ac:dyDescent="0.25">
      <c r="A13" s="7" t="s">
        <v>9385</v>
      </c>
      <c r="B13" s="8" t="s">
        <v>213</v>
      </c>
      <c r="C13" s="8" t="s">
        <v>9256</v>
      </c>
      <c r="D13" s="8" t="str">
        <f>"9788021096943"</f>
        <v>9788021096943</v>
      </c>
    </row>
    <row r="14" spans="1:4" ht="30" x14ac:dyDescent="0.25">
      <c r="A14" s="7" t="s">
        <v>2803</v>
      </c>
      <c r="B14" s="8" t="s">
        <v>2804</v>
      </c>
      <c r="C14" s="8" t="s">
        <v>1865</v>
      </c>
      <c r="D14" s="8" t="str">
        <f>"9789176857175"</f>
        <v>9789176857175</v>
      </c>
    </row>
    <row r="15" spans="1:4" x14ac:dyDescent="0.25">
      <c r="A15" s="7" t="s">
        <v>7360</v>
      </c>
      <c r="B15" s="8" t="s">
        <v>7361</v>
      </c>
      <c r="C15" s="8" t="s">
        <v>5086</v>
      </c>
      <c r="D15" s="8" t="str">
        <f>"9783658328634"</f>
        <v>9783658328634</v>
      </c>
    </row>
    <row r="16" spans="1:4" x14ac:dyDescent="0.25">
      <c r="A16" s="7" t="s">
        <v>10888</v>
      </c>
      <c r="B16" s="8" t="s">
        <v>10889</v>
      </c>
      <c r="C16" s="8" t="s">
        <v>5086</v>
      </c>
      <c r="D16" s="8" t="str">
        <f>"9783658361457"</f>
        <v>9783658361457</v>
      </c>
    </row>
    <row r="17" spans="1:4" x14ac:dyDescent="0.25">
      <c r="A17" s="7" t="s">
        <v>12039</v>
      </c>
      <c r="B17" s="8" t="s">
        <v>12040</v>
      </c>
      <c r="C17" s="8" t="s">
        <v>355</v>
      </c>
      <c r="D17" s="8" t="str">
        <f>"9783110763942"</f>
        <v>9783110763942</v>
      </c>
    </row>
    <row r="18" spans="1:4" ht="30" x14ac:dyDescent="0.25">
      <c r="A18" s="7" t="s">
        <v>12670</v>
      </c>
      <c r="B18" s="8" t="s">
        <v>12671</v>
      </c>
      <c r="C18" s="8" t="s">
        <v>355</v>
      </c>
      <c r="D18" s="8" t="str">
        <f>"9783110772395"</f>
        <v>9783110772395</v>
      </c>
    </row>
    <row r="19" spans="1:4" x14ac:dyDescent="0.25">
      <c r="A19" s="7" t="s">
        <v>12111</v>
      </c>
      <c r="B19" s="8" t="s">
        <v>12047</v>
      </c>
      <c r="C19" s="8" t="s">
        <v>355</v>
      </c>
      <c r="D19" s="8" t="str">
        <f>"9783110719079"</f>
        <v>9783110719079</v>
      </c>
    </row>
    <row r="20" spans="1:4" x14ac:dyDescent="0.25">
      <c r="A20" s="7" t="s">
        <v>12151</v>
      </c>
      <c r="B20" s="8" t="s">
        <v>12047</v>
      </c>
      <c r="C20" s="8" t="s">
        <v>355</v>
      </c>
      <c r="D20" s="8" t="str">
        <f>"9783110719123"</f>
        <v>9783110719123</v>
      </c>
    </row>
    <row r="21" spans="1:4" x14ac:dyDescent="0.25">
      <c r="A21" s="7" t="s">
        <v>12160</v>
      </c>
      <c r="B21" s="8" t="s">
        <v>12047</v>
      </c>
      <c r="C21" s="8" t="s">
        <v>355</v>
      </c>
      <c r="D21" s="8" t="str">
        <f>"9783110719086"</f>
        <v>9783110719086</v>
      </c>
    </row>
    <row r="22" spans="1:4" x14ac:dyDescent="0.25">
      <c r="A22" s="7" t="s">
        <v>12089</v>
      </c>
      <c r="B22" s="8" t="s">
        <v>12047</v>
      </c>
      <c r="C22" s="8" t="s">
        <v>355</v>
      </c>
      <c r="D22" s="8" t="str">
        <f>"9783110719093"</f>
        <v>9783110719093</v>
      </c>
    </row>
    <row r="23" spans="1:4" x14ac:dyDescent="0.25">
      <c r="A23" s="7" t="s">
        <v>12088</v>
      </c>
      <c r="B23" s="8" t="s">
        <v>12047</v>
      </c>
      <c r="C23" s="8" t="s">
        <v>355</v>
      </c>
      <c r="D23" s="8" t="str">
        <f>"9783110719109"</f>
        <v>9783110719109</v>
      </c>
    </row>
    <row r="24" spans="1:4" x14ac:dyDescent="0.25">
      <c r="A24" s="7" t="s">
        <v>12140</v>
      </c>
      <c r="B24" s="8" t="s">
        <v>12047</v>
      </c>
      <c r="C24" s="8" t="s">
        <v>355</v>
      </c>
      <c r="D24" s="8" t="str">
        <f>"9783110719062"</f>
        <v>9783110719062</v>
      </c>
    </row>
    <row r="25" spans="1:4" x14ac:dyDescent="0.25">
      <c r="A25" s="7" t="s">
        <v>12046</v>
      </c>
      <c r="B25" s="8" t="s">
        <v>12047</v>
      </c>
      <c r="C25" s="8" t="s">
        <v>355</v>
      </c>
      <c r="D25" s="8" t="str">
        <f>"9783110719116"</f>
        <v>9783110719116</v>
      </c>
    </row>
    <row r="26" spans="1:4" ht="30" x14ac:dyDescent="0.25">
      <c r="A26" s="7" t="s">
        <v>3700</v>
      </c>
      <c r="B26" s="8" t="s">
        <v>3701</v>
      </c>
      <c r="C26" s="8" t="s">
        <v>1345</v>
      </c>
      <c r="D26" s="8" t="str">
        <f>"9783737603676"</f>
        <v>9783737603676</v>
      </c>
    </row>
    <row r="27" spans="1:4" x14ac:dyDescent="0.25">
      <c r="A27" s="7" t="s">
        <v>5547</v>
      </c>
      <c r="B27" s="8" t="s">
        <v>5548</v>
      </c>
      <c r="C27" s="8" t="s">
        <v>355</v>
      </c>
      <c r="D27" s="8" t="str">
        <f>"9783111430157"</f>
        <v>9783111430157</v>
      </c>
    </row>
    <row r="28" spans="1:4" x14ac:dyDescent="0.25">
      <c r="A28" s="7" t="s">
        <v>14044</v>
      </c>
      <c r="B28" s="8" t="s">
        <v>14045</v>
      </c>
      <c r="C28" s="8" t="s">
        <v>13997</v>
      </c>
      <c r="D28" s="8" t="str">
        <f>"9789568416539"</f>
        <v>9789568416539</v>
      </c>
    </row>
    <row r="29" spans="1:4" ht="30" x14ac:dyDescent="0.25">
      <c r="A29" s="7" t="s">
        <v>1840</v>
      </c>
      <c r="B29" s="8" t="s">
        <v>1841</v>
      </c>
      <c r="C29" s="8" t="s">
        <v>1345</v>
      </c>
      <c r="D29" s="8" t="str">
        <f>"9783862198412"</f>
        <v>9783862198412</v>
      </c>
    </row>
    <row r="30" spans="1:4" ht="30" x14ac:dyDescent="0.25">
      <c r="A30" s="7" t="s">
        <v>4653</v>
      </c>
      <c r="B30" s="8" t="s">
        <v>4654</v>
      </c>
      <c r="C30" s="8" t="s">
        <v>1345</v>
      </c>
      <c r="D30" s="8" t="str">
        <f>"9783737604376"</f>
        <v>9783737604376</v>
      </c>
    </row>
    <row r="31" spans="1:4" ht="30" x14ac:dyDescent="0.25">
      <c r="A31" s="7" t="s">
        <v>3233</v>
      </c>
      <c r="B31" s="8" t="s">
        <v>3234</v>
      </c>
      <c r="C31" s="8" t="s">
        <v>1345</v>
      </c>
      <c r="D31" s="8" t="str">
        <f>"9783862198917"</f>
        <v>9783862198917</v>
      </c>
    </row>
    <row r="32" spans="1:4" ht="45" x14ac:dyDescent="0.25">
      <c r="A32" s="7" t="s">
        <v>3326</v>
      </c>
      <c r="B32" s="8" t="s">
        <v>37</v>
      </c>
      <c r="C32" s="8" t="s">
        <v>1345</v>
      </c>
      <c r="D32" s="8" t="str">
        <f>"9783737602310"</f>
        <v>9783737602310</v>
      </c>
    </row>
    <row r="33" spans="1:4" ht="45" x14ac:dyDescent="0.25">
      <c r="A33" s="7" t="s">
        <v>3404</v>
      </c>
      <c r="B33" s="8" t="s">
        <v>3405</v>
      </c>
      <c r="C33" s="8" t="s">
        <v>1345</v>
      </c>
      <c r="D33" s="8" t="str">
        <f>"9783737602716"</f>
        <v>9783737602716</v>
      </c>
    </row>
    <row r="34" spans="1:4" ht="60" x14ac:dyDescent="0.25">
      <c r="A34" s="7" t="s">
        <v>7430</v>
      </c>
      <c r="B34" s="8" t="s">
        <v>7431</v>
      </c>
      <c r="C34" s="8" t="s">
        <v>993</v>
      </c>
      <c r="D34" s="8" t="str">
        <f>"9783839437551"</f>
        <v>9783839437551</v>
      </c>
    </row>
    <row r="35" spans="1:4" x14ac:dyDescent="0.25">
      <c r="A35" s="7" t="s">
        <v>9808</v>
      </c>
      <c r="B35" s="8" t="s">
        <v>9809</v>
      </c>
      <c r="C35" s="8" t="s">
        <v>993</v>
      </c>
      <c r="D35" s="8" t="str">
        <f>"9783839405055"</f>
        <v>9783839405055</v>
      </c>
    </row>
    <row r="36" spans="1:4" ht="30" x14ac:dyDescent="0.25">
      <c r="A36" s="7" t="s">
        <v>9885</v>
      </c>
      <c r="B36" s="8" t="s">
        <v>9886</v>
      </c>
      <c r="C36" s="8" t="s">
        <v>993</v>
      </c>
      <c r="D36" s="8" t="str">
        <f>"9783839407448"</f>
        <v>9783839407448</v>
      </c>
    </row>
    <row r="37" spans="1:4" x14ac:dyDescent="0.25">
      <c r="A37" s="7" t="s">
        <v>9002</v>
      </c>
      <c r="B37" s="8" t="s">
        <v>9003</v>
      </c>
      <c r="C37" s="8" t="s">
        <v>993</v>
      </c>
      <c r="D37" s="8" t="str">
        <f>"9783839431726"</f>
        <v>9783839431726</v>
      </c>
    </row>
    <row r="38" spans="1:4" ht="30" x14ac:dyDescent="0.25">
      <c r="A38" s="7" t="s">
        <v>12308</v>
      </c>
      <c r="B38" s="8" t="s">
        <v>12309</v>
      </c>
      <c r="C38" s="8" t="s">
        <v>993</v>
      </c>
      <c r="D38" s="8" t="str">
        <f>"9783839460818"</f>
        <v>9783839460818</v>
      </c>
    </row>
    <row r="39" spans="1:4" ht="30" x14ac:dyDescent="0.25">
      <c r="A39" s="7" t="s">
        <v>9701</v>
      </c>
      <c r="B39" s="8" t="s">
        <v>9702</v>
      </c>
      <c r="C39" s="8" t="s">
        <v>993</v>
      </c>
      <c r="D39" s="8" t="str">
        <f>"9783839402184"</f>
        <v>9783839402184</v>
      </c>
    </row>
    <row r="40" spans="1:4" ht="30" x14ac:dyDescent="0.25">
      <c r="A40" s="7" t="s">
        <v>12296</v>
      </c>
      <c r="B40" s="8" t="s">
        <v>12297</v>
      </c>
      <c r="C40" s="8" t="s">
        <v>993</v>
      </c>
      <c r="D40" s="8" t="str">
        <f>"9783839460092"</f>
        <v>9783839460092</v>
      </c>
    </row>
    <row r="41" spans="1:4" ht="30" x14ac:dyDescent="0.25">
      <c r="A41" s="7" t="s">
        <v>10288</v>
      </c>
      <c r="B41" s="8" t="s">
        <v>10289</v>
      </c>
      <c r="C41" s="8" t="s">
        <v>993</v>
      </c>
      <c r="D41" s="8" t="str">
        <f>"9783839447840"</f>
        <v>9783839447840</v>
      </c>
    </row>
    <row r="42" spans="1:4" ht="30" x14ac:dyDescent="0.25">
      <c r="A42" s="7" t="s">
        <v>9724</v>
      </c>
      <c r="B42" s="8" t="s">
        <v>9725</v>
      </c>
      <c r="C42" s="8" t="s">
        <v>993</v>
      </c>
      <c r="D42" s="8" t="str">
        <f>"9783839402894"</f>
        <v>9783839402894</v>
      </c>
    </row>
    <row r="43" spans="1:4" x14ac:dyDescent="0.25">
      <c r="A43" s="7" t="s">
        <v>9858</v>
      </c>
      <c r="B43" s="8" t="s">
        <v>9859</v>
      </c>
      <c r="C43" s="8" t="s">
        <v>993</v>
      </c>
      <c r="D43" s="8" t="str">
        <f>"9783839406748"</f>
        <v>9783839406748</v>
      </c>
    </row>
    <row r="44" spans="1:4" ht="30" x14ac:dyDescent="0.25">
      <c r="A44" s="7" t="s">
        <v>7468</v>
      </c>
      <c r="B44" s="8" t="s">
        <v>7469</v>
      </c>
      <c r="C44" s="8" t="s">
        <v>993</v>
      </c>
      <c r="D44" s="8" t="str">
        <f>"9783839440537"</f>
        <v>9783839440537</v>
      </c>
    </row>
    <row r="45" spans="1:4" ht="30" x14ac:dyDescent="0.25">
      <c r="A45" s="7" t="s">
        <v>997</v>
      </c>
      <c r="B45" s="8" t="s">
        <v>998</v>
      </c>
      <c r="C45" s="8" t="s">
        <v>993</v>
      </c>
      <c r="D45" s="8" t="str">
        <f>"9783839428481"</f>
        <v>9783839428481</v>
      </c>
    </row>
    <row r="46" spans="1:4" x14ac:dyDescent="0.25">
      <c r="A46" s="7" t="s">
        <v>10355</v>
      </c>
      <c r="B46" s="8" t="s">
        <v>10356</v>
      </c>
      <c r="C46" s="8" t="s">
        <v>993</v>
      </c>
      <c r="D46" s="8" t="str">
        <f>"9783839450703"</f>
        <v>9783839450703</v>
      </c>
    </row>
    <row r="47" spans="1:4" x14ac:dyDescent="0.25">
      <c r="A47" s="7" t="s">
        <v>9959</v>
      </c>
      <c r="B47" s="8" t="s">
        <v>9960</v>
      </c>
      <c r="C47" s="8" t="s">
        <v>993</v>
      </c>
      <c r="D47" s="8" t="str">
        <f>"9783839408827"</f>
        <v>9783839408827</v>
      </c>
    </row>
    <row r="48" spans="1:4" x14ac:dyDescent="0.25">
      <c r="A48" s="7" t="s">
        <v>9752</v>
      </c>
      <c r="B48" s="8" t="s">
        <v>9753</v>
      </c>
      <c r="C48" s="8" t="s">
        <v>993</v>
      </c>
      <c r="D48" s="8" t="str">
        <f>"9783839403549"</f>
        <v>9783839403549</v>
      </c>
    </row>
    <row r="49" spans="1:4" ht="30" x14ac:dyDescent="0.25">
      <c r="A49" s="7" t="s">
        <v>9938</v>
      </c>
      <c r="B49" s="8" t="s">
        <v>9939</v>
      </c>
      <c r="C49" s="8" t="s">
        <v>993</v>
      </c>
      <c r="D49" s="8" t="str">
        <f>"9783839408377"</f>
        <v>9783839408377</v>
      </c>
    </row>
    <row r="50" spans="1:4" ht="30" x14ac:dyDescent="0.25">
      <c r="A50" s="7" t="s">
        <v>10177</v>
      </c>
      <c r="B50" s="8" t="s">
        <v>10178</v>
      </c>
      <c r="C50" s="8" t="s">
        <v>993</v>
      </c>
      <c r="D50" s="8" t="str">
        <f>"9783839442470"</f>
        <v>9783839442470</v>
      </c>
    </row>
    <row r="51" spans="1:4" ht="30" x14ac:dyDescent="0.25">
      <c r="A51" s="7" t="s">
        <v>12354</v>
      </c>
      <c r="B51" s="8" t="s">
        <v>12355</v>
      </c>
      <c r="C51" s="8" t="s">
        <v>993</v>
      </c>
      <c r="D51" s="8" t="str">
        <f>"9783839463079"</f>
        <v>9783839463079</v>
      </c>
    </row>
    <row r="52" spans="1:4" x14ac:dyDescent="0.25">
      <c r="A52" s="7" t="s">
        <v>9671</v>
      </c>
      <c r="B52" s="8" t="s">
        <v>93</v>
      </c>
      <c r="C52" s="8" t="s">
        <v>993</v>
      </c>
      <c r="D52" s="8" t="str">
        <f>"9783839400715"</f>
        <v>9783839400715</v>
      </c>
    </row>
    <row r="53" spans="1:4" x14ac:dyDescent="0.25">
      <c r="A53" s="7" t="s">
        <v>8132</v>
      </c>
      <c r="B53" s="8" t="s">
        <v>7445</v>
      </c>
      <c r="C53" s="8" t="s">
        <v>993</v>
      </c>
      <c r="D53" s="8" t="str">
        <f>"9783839458372"</f>
        <v>9783839458372</v>
      </c>
    </row>
    <row r="54" spans="1:4" x14ac:dyDescent="0.25">
      <c r="A54" s="7" t="s">
        <v>12259</v>
      </c>
      <c r="B54" s="8" t="s">
        <v>12260</v>
      </c>
      <c r="C54" s="8" t="s">
        <v>993</v>
      </c>
      <c r="D54" s="8" t="str">
        <f>"9783839455579"</f>
        <v>9783839455579</v>
      </c>
    </row>
    <row r="55" spans="1:4" x14ac:dyDescent="0.25">
      <c r="A55" s="7" t="s">
        <v>8289</v>
      </c>
      <c r="B55" s="8" t="s">
        <v>8290</v>
      </c>
      <c r="C55" s="8" t="s">
        <v>993</v>
      </c>
      <c r="D55" s="8" t="str">
        <f>"9783839446508"</f>
        <v>9783839446508</v>
      </c>
    </row>
    <row r="56" spans="1:4" x14ac:dyDescent="0.25">
      <c r="A56" s="7" t="s">
        <v>8253</v>
      </c>
      <c r="B56" s="8" t="s">
        <v>8254</v>
      </c>
      <c r="C56" s="8" t="s">
        <v>993</v>
      </c>
      <c r="D56" s="8" t="str">
        <f>"9783839440582"</f>
        <v>9783839440582</v>
      </c>
    </row>
    <row r="57" spans="1:4" ht="30" x14ac:dyDescent="0.25">
      <c r="A57" s="7" t="s">
        <v>7645</v>
      </c>
      <c r="B57" s="8" t="s">
        <v>7646</v>
      </c>
      <c r="C57" s="8" t="s">
        <v>993</v>
      </c>
      <c r="D57" s="8" t="str">
        <f>"9783839424865"</f>
        <v>9783839424865</v>
      </c>
    </row>
    <row r="58" spans="1:4" ht="30" x14ac:dyDescent="0.25">
      <c r="A58" s="7" t="s">
        <v>8531</v>
      </c>
      <c r="B58" s="8" t="s">
        <v>8532</v>
      </c>
      <c r="C58" s="8" t="s">
        <v>993</v>
      </c>
      <c r="D58" s="8" t="str">
        <f>"9783839451946"</f>
        <v>9783839451946</v>
      </c>
    </row>
    <row r="59" spans="1:4" x14ac:dyDescent="0.25">
      <c r="A59" s="7" t="s">
        <v>8235</v>
      </c>
      <c r="B59" s="8" t="s">
        <v>8236</v>
      </c>
      <c r="C59" s="8" t="s">
        <v>993</v>
      </c>
      <c r="D59" s="8" t="str">
        <f>"9783839457689"</f>
        <v>9783839457689</v>
      </c>
    </row>
    <row r="60" spans="1:4" ht="30" x14ac:dyDescent="0.25">
      <c r="A60" s="7" t="s">
        <v>1397</v>
      </c>
      <c r="B60" s="8" t="s">
        <v>1398</v>
      </c>
      <c r="C60" s="8" t="s">
        <v>1345</v>
      </c>
      <c r="D60" s="8" t="str">
        <f>"9783862191116"</f>
        <v>9783862191116</v>
      </c>
    </row>
    <row r="61" spans="1:4" x14ac:dyDescent="0.25">
      <c r="A61" s="7" t="s">
        <v>8291</v>
      </c>
      <c r="B61" s="8" t="s">
        <v>8292</v>
      </c>
      <c r="C61" s="8" t="s">
        <v>993</v>
      </c>
      <c r="D61" s="8" t="str">
        <f>"9783839453346"</f>
        <v>9783839453346</v>
      </c>
    </row>
    <row r="62" spans="1:4" ht="30" x14ac:dyDescent="0.25">
      <c r="A62" s="7" t="s">
        <v>9380</v>
      </c>
      <c r="B62" s="8" t="s">
        <v>9381</v>
      </c>
      <c r="C62" s="8" t="s">
        <v>9256</v>
      </c>
      <c r="D62" s="8" t="str">
        <f>"9788021096882"</f>
        <v>9788021096882</v>
      </c>
    </row>
    <row r="63" spans="1:4" x14ac:dyDescent="0.25">
      <c r="A63" s="7" t="s">
        <v>14440</v>
      </c>
      <c r="B63" s="8" t="s">
        <v>14441</v>
      </c>
      <c r="C63" s="8" t="s">
        <v>1865</v>
      </c>
      <c r="D63" s="8" t="str">
        <f>"9789179296643"</f>
        <v>9789179296643</v>
      </c>
    </row>
    <row r="64" spans="1:4" x14ac:dyDescent="0.25">
      <c r="A64" s="7" t="s">
        <v>9302</v>
      </c>
      <c r="B64" s="8" t="s">
        <v>9303</v>
      </c>
      <c r="C64" s="8" t="s">
        <v>9256</v>
      </c>
      <c r="D64" s="8" t="str">
        <f>"9788021094352"</f>
        <v>9788021094352</v>
      </c>
    </row>
    <row r="65" spans="1:4" ht="30" x14ac:dyDescent="0.25">
      <c r="A65" s="7" t="s">
        <v>14212</v>
      </c>
      <c r="B65" s="8" t="s">
        <v>9363</v>
      </c>
      <c r="C65" s="8" t="s">
        <v>9256</v>
      </c>
      <c r="D65" s="8" t="str">
        <f>"9788028001070"</f>
        <v>9788028001070</v>
      </c>
    </row>
    <row r="66" spans="1:4" x14ac:dyDescent="0.25">
      <c r="A66" s="7" t="s">
        <v>9460</v>
      </c>
      <c r="B66" s="8" t="s">
        <v>9303</v>
      </c>
      <c r="C66" s="8" t="s">
        <v>9256</v>
      </c>
      <c r="D66" s="8" t="str">
        <f>"9788021099982"</f>
        <v>9788021099982</v>
      </c>
    </row>
    <row r="67" spans="1:4" ht="30" x14ac:dyDescent="0.25">
      <c r="A67" s="7" t="s">
        <v>806</v>
      </c>
      <c r="B67" s="8" t="s">
        <v>807</v>
      </c>
      <c r="C67" s="8" t="s">
        <v>316</v>
      </c>
      <c r="D67" s="8" t="str">
        <f>"9783110350548"</f>
        <v>9783110350548</v>
      </c>
    </row>
    <row r="68" spans="1:4" x14ac:dyDescent="0.25">
      <c r="A68" s="7" t="s">
        <v>11990</v>
      </c>
      <c r="B68" s="8" t="s">
        <v>835</v>
      </c>
      <c r="C68" s="8" t="s">
        <v>355</v>
      </c>
      <c r="D68" s="8" t="str">
        <f>"9783110924572"</f>
        <v>9783110924572</v>
      </c>
    </row>
    <row r="69" spans="1:4" x14ac:dyDescent="0.25">
      <c r="A69" s="7" t="s">
        <v>12184</v>
      </c>
      <c r="B69" s="8" t="s">
        <v>835</v>
      </c>
      <c r="C69" s="8" t="s">
        <v>355</v>
      </c>
      <c r="D69" s="8" t="str">
        <f>"9783110972948"</f>
        <v>9783110972948</v>
      </c>
    </row>
    <row r="70" spans="1:4" x14ac:dyDescent="0.25">
      <c r="A70" s="7" t="s">
        <v>7666</v>
      </c>
      <c r="B70" s="8" t="s">
        <v>7514</v>
      </c>
      <c r="C70" s="8" t="s">
        <v>993</v>
      </c>
      <c r="D70" s="8" t="str">
        <f>"9783839425800"</f>
        <v>9783839425800</v>
      </c>
    </row>
    <row r="71" spans="1:4" ht="30" x14ac:dyDescent="0.25">
      <c r="A71" s="7" t="s">
        <v>14175</v>
      </c>
      <c r="B71" s="8" t="s">
        <v>14176</v>
      </c>
      <c r="C71" s="8" t="s">
        <v>9256</v>
      </c>
      <c r="D71" s="8" t="str">
        <f>"9788021094871"</f>
        <v>9788021094871</v>
      </c>
    </row>
    <row r="72" spans="1:4" x14ac:dyDescent="0.25">
      <c r="A72" s="7" t="s">
        <v>7689</v>
      </c>
      <c r="B72" s="8" t="s">
        <v>7554</v>
      </c>
      <c r="C72" s="8" t="s">
        <v>993</v>
      </c>
      <c r="D72" s="8" t="str">
        <f>"9783839424872"</f>
        <v>9783839424872</v>
      </c>
    </row>
    <row r="73" spans="1:4" x14ac:dyDescent="0.25">
      <c r="A73" s="7" t="s">
        <v>14336</v>
      </c>
      <c r="B73" s="8" t="s">
        <v>14338</v>
      </c>
      <c r="C73" s="8" t="s">
        <v>14337</v>
      </c>
      <c r="D73" s="8" t="str">
        <f>"9780822988656"</f>
        <v>9780822988656</v>
      </c>
    </row>
    <row r="74" spans="1:4" ht="30" x14ac:dyDescent="0.25">
      <c r="A74" s="7" t="s">
        <v>14037</v>
      </c>
      <c r="B74" s="8" t="s">
        <v>208</v>
      </c>
      <c r="C74" s="8" t="s">
        <v>13997</v>
      </c>
      <c r="D74" s="8" t="str">
        <f>"9789566095484"</f>
        <v>9789566095484</v>
      </c>
    </row>
    <row r="75" spans="1:4" ht="30" x14ac:dyDescent="0.25">
      <c r="A75" s="7" t="s">
        <v>14070</v>
      </c>
      <c r="B75" s="8" t="s">
        <v>14071</v>
      </c>
      <c r="C75" s="8" t="s">
        <v>13502</v>
      </c>
      <c r="D75" s="8" t="str">
        <f>"9789464630565"</f>
        <v>9789464630565</v>
      </c>
    </row>
    <row r="76" spans="1:4" x14ac:dyDescent="0.25">
      <c r="A76" s="7" t="s">
        <v>6333</v>
      </c>
      <c r="B76" s="8" t="s">
        <v>6334</v>
      </c>
      <c r="C76" s="8" t="s">
        <v>2274</v>
      </c>
      <c r="D76" s="8" t="str">
        <f>"9789811598333"</f>
        <v>9789811598333</v>
      </c>
    </row>
    <row r="77" spans="1:4" ht="30" x14ac:dyDescent="0.25">
      <c r="A77" s="7" t="s">
        <v>13512</v>
      </c>
      <c r="B77" s="8" t="s">
        <v>13513</v>
      </c>
      <c r="C77" s="8" t="s">
        <v>2273</v>
      </c>
      <c r="D77" s="8" t="str">
        <f>"9783031167560"</f>
        <v>9783031167560</v>
      </c>
    </row>
    <row r="78" spans="1:4" x14ac:dyDescent="0.25">
      <c r="A78" s="7" t="s">
        <v>13860</v>
      </c>
      <c r="B78" s="8" t="s">
        <v>13861</v>
      </c>
      <c r="C78" s="8" t="s">
        <v>13502</v>
      </c>
      <c r="D78" s="8" t="str">
        <f>"9782494069572"</f>
        <v>9782494069572</v>
      </c>
    </row>
    <row r="79" spans="1:4" ht="30" x14ac:dyDescent="0.25">
      <c r="A79" s="7" t="s">
        <v>14187</v>
      </c>
      <c r="B79" s="8" t="s">
        <v>14188</v>
      </c>
      <c r="C79" s="8" t="s">
        <v>9256</v>
      </c>
      <c r="D79" s="8" t="str">
        <f>"9788021099463"</f>
        <v>9788021099463</v>
      </c>
    </row>
    <row r="80" spans="1:4" x14ac:dyDescent="0.25">
      <c r="A80" s="7" t="s">
        <v>12452</v>
      </c>
      <c r="B80" s="8" t="s">
        <v>12453</v>
      </c>
      <c r="C80" s="8" t="s">
        <v>355</v>
      </c>
      <c r="D80" s="8" t="str">
        <f>"9783110776195"</f>
        <v>9783110776195</v>
      </c>
    </row>
    <row r="81" spans="1:4" x14ac:dyDescent="0.25">
      <c r="A81" s="7" t="s">
        <v>7880</v>
      </c>
      <c r="B81" s="8" t="s">
        <v>7881</v>
      </c>
      <c r="C81" s="8" t="s">
        <v>1865</v>
      </c>
      <c r="D81" s="8" t="str">
        <f>"9789179296476"</f>
        <v>9789179296476</v>
      </c>
    </row>
    <row r="82" spans="1:4" x14ac:dyDescent="0.25">
      <c r="A82" s="7" t="s">
        <v>1826</v>
      </c>
      <c r="B82" s="8" t="s">
        <v>1827</v>
      </c>
      <c r="C82" s="8" t="s">
        <v>1345</v>
      </c>
      <c r="D82" s="8" t="str">
        <f>"9783862197910"</f>
        <v>9783862197910</v>
      </c>
    </row>
    <row r="83" spans="1:4" x14ac:dyDescent="0.25">
      <c r="A83" s="7" t="s">
        <v>1674</v>
      </c>
      <c r="B83" s="8" t="s">
        <v>1606</v>
      </c>
      <c r="C83" s="8" t="s">
        <v>1345</v>
      </c>
      <c r="D83" s="8" t="str">
        <f>"9783862191970"</f>
        <v>9783862191970</v>
      </c>
    </row>
    <row r="84" spans="1:4" x14ac:dyDescent="0.25">
      <c r="A84" s="7" t="s">
        <v>4240</v>
      </c>
      <c r="B84" s="8" t="s">
        <v>4241</v>
      </c>
      <c r="C84" s="8" t="s">
        <v>1865</v>
      </c>
      <c r="D84" s="8" t="str">
        <f>"9789176851937"</f>
        <v>9789176851937</v>
      </c>
    </row>
    <row r="85" spans="1:4" x14ac:dyDescent="0.25">
      <c r="A85" s="7" t="s">
        <v>2288</v>
      </c>
      <c r="B85" s="8" t="s">
        <v>2289</v>
      </c>
      <c r="C85" s="8" t="s">
        <v>316</v>
      </c>
      <c r="D85" s="8" t="str">
        <f>"9783110424713"</f>
        <v>9783110424713</v>
      </c>
    </row>
    <row r="86" spans="1:4" x14ac:dyDescent="0.25">
      <c r="A86" s="7" t="s">
        <v>10472</v>
      </c>
      <c r="B86" s="8" t="s">
        <v>10473</v>
      </c>
      <c r="C86" s="8" t="s">
        <v>993</v>
      </c>
      <c r="D86" s="8" t="str">
        <f>"9783839457504"</f>
        <v>9783839457504</v>
      </c>
    </row>
    <row r="87" spans="1:4" x14ac:dyDescent="0.25">
      <c r="A87" s="7" t="s">
        <v>13453</v>
      </c>
      <c r="B87" s="8" t="s">
        <v>13454</v>
      </c>
      <c r="C87" s="8" t="s">
        <v>2273</v>
      </c>
      <c r="D87" s="8" t="str">
        <f>"9783031056604"</f>
        <v>9783031056604</v>
      </c>
    </row>
    <row r="88" spans="1:4" ht="30" x14ac:dyDescent="0.25">
      <c r="A88" s="7" t="s">
        <v>3023</v>
      </c>
      <c r="B88" s="8" t="s">
        <v>3024</v>
      </c>
      <c r="C88" s="8" t="s">
        <v>1345</v>
      </c>
      <c r="D88" s="8" t="str">
        <f>"9783862198771"</f>
        <v>9783862198771</v>
      </c>
    </row>
    <row r="89" spans="1:4" x14ac:dyDescent="0.25">
      <c r="A89" s="7" t="s">
        <v>5469</v>
      </c>
      <c r="B89" s="8" t="s">
        <v>5147</v>
      </c>
      <c r="C89" s="8" t="s">
        <v>5064</v>
      </c>
      <c r="D89" s="8" t="str">
        <f>"9789814644150"</f>
        <v>9789814644150</v>
      </c>
    </row>
    <row r="90" spans="1:4" x14ac:dyDescent="0.25">
      <c r="A90" s="7" t="s">
        <v>9408</v>
      </c>
      <c r="B90" s="8" t="s">
        <v>9259</v>
      </c>
      <c r="C90" s="8" t="s">
        <v>9256</v>
      </c>
      <c r="D90" s="8" t="str">
        <f>"9788021097889"</f>
        <v>9788021097889</v>
      </c>
    </row>
    <row r="91" spans="1:4" x14ac:dyDescent="0.25">
      <c r="A91" s="7" t="s">
        <v>9258</v>
      </c>
      <c r="B91" s="8" t="s">
        <v>9259</v>
      </c>
      <c r="C91" s="8" t="s">
        <v>9256</v>
      </c>
      <c r="D91" s="8" t="str">
        <f>"9788021063136"</f>
        <v>9788021063136</v>
      </c>
    </row>
    <row r="92" spans="1:4" x14ac:dyDescent="0.25">
      <c r="A92" s="7" t="s">
        <v>14223</v>
      </c>
      <c r="B92" s="8" t="s">
        <v>9259</v>
      </c>
      <c r="C92" s="8" t="s">
        <v>9256</v>
      </c>
      <c r="D92" s="8" t="str">
        <f>"9788028001636"</f>
        <v>9788028001636</v>
      </c>
    </row>
    <row r="93" spans="1:4" x14ac:dyDescent="0.25">
      <c r="A93" s="7" t="s">
        <v>6581</v>
      </c>
      <c r="B93" s="8" t="s">
        <v>6582</v>
      </c>
      <c r="C93" s="8" t="s">
        <v>2273</v>
      </c>
      <c r="D93" s="8" t="str">
        <f>"9783030632779"</f>
        <v>9783030632779</v>
      </c>
    </row>
    <row r="94" spans="1:4" ht="30" x14ac:dyDescent="0.25">
      <c r="A94" s="7" t="s">
        <v>10011</v>
      </c>
      <c r="B94" s="8" t="s">
        <v>10012</v>
      </c>
      <c r="C94" s="8" t="s">
        <v>993</v>
      </c>
      <c r="D94" s="8" t="str">
        <f>"9783839410165"</f>
        <v>9783839410165</v>
      </c>
    </row>
    <row r="95" spans="1:4" ht="30" x14ac:dyDescent="0.25">
      <c r="A95" s="7" t="s">
        <v>6540</v>
      </c>
      <c r="B95" s="8" t="s">
        <v>6541</v>
      </c>
      <c r="C95" s="8" t="s">
        <v>993</v>
      </c>
      <c r="D95" s="8" t="str">
        <f>"9783839454985"</f>
        <v>9783839454985</v>
      </c>
    </row>
    <row r="96" spans="1:4" ht="30" x14ac:dyDescent="0.25">
      <c r="A96" s="7" t="s">
        <v>12116</v>
      </c>
      <c r="B96" s="8" t="s">
        <v>12117</v>
      </c>
      <c r="C96" s="8" t="s">
        <v>355</v>
      </c>
      <c r="D96" s="8" t="str">
        <f>"9783110770957"</f>
        <v>9783110770957</v>
      </c>
    </row>
    <row r="97" spans="1:4" x14ac:dyDescent="0.25">
      <c r="A97" s="7" t="s">
        <v>11128</v>
      </c>
      <c r="B97" s="8" t="s">
        <v>11129</v>
      </c>
      <c r="C97" s="8" t="s">
        <v>6707</v>
      </c>
      <c r="D97" s="8" t="str">
        <f>"9780472901777"</f>
        <v>9780472901777</v>
      </c>
    </row>
    <row r="98" spans="1:4" ht="30" x14ac:dyDescent="0.25">
      <c r="A98" s="7" t="s">
        <v>2543</v>
      </c>
      <c r="B98" s="8" t="s">
        <v>2544</v>
      </c>
      <c r="C98" s="8" t="s">
        <v>1865</v>
      </c>
      <c r="D98" s="8" t="str">
        <f>"9789176858684"</f>
        <v>9789176858684</v>
      </c>
    </row>
    <row r="99" spans="1:4" ht="30" x14ac:dyDescent="0.25">
      <c r="A99" s="7" t="s">
        <v>11486</v>
      </c>
      <c r="B99" s="8" t="s">
        <v>11487</v>
      </c>
      <c r="C99" s="8" t="s">
        <v>355</v>
      </c>
      <c r="D99" s="8" t="str">
        <f>"9783110685015"</f>
        <v>9783110685015</v>
      </c>
    </row>
    <row r="100" spans="1:4" x14ac:dyDescent="0.25">
      <c r="A100" s="7" t="s">
        <v>6510</v>
      </c>
      <c r="B100" s="8" t="s">
        <v>6511</v>
      </c>
      <c r="C100" s="8" t="s">
        <v>2273</v>
      </c>
      <c r="D100" s="8" t="str">
        <f>"9783030680428"</f>
        <v>9783030680428</v>
      </c>
    </row>
    <row r="101" spans="1:4" x14ac:dyDescent="0.25">
      <c r="A101" s="7" t="s">
        <v>7099</v>
      </c>
      <c r="B101" s="8" t="s">
        <v>7100</v>
      </c>
      <c r="C101" s="8" t="s">
        <v>355</v>
      </c>
      <c r="D101" s="8" t="str">
        <f>"9783110621051"</f>
        <v>9783110621051</v>
      </c>
    </row>
    <row r="102" spans="1:4" ht="30" x14ac:dyDescent="0.25">
      <c r="A102" s="7" t="s">
        <v>4216</v>
      </c>
      <c r="B102" s="8" t="s">
        <v>4217</v>
      </c>
      <c r="C102" s="8" t="s">
        <v>1865</v>
      </c>
      <c r="D102" s="8" t="str">
        <f>"9789176853054"</f>
        <v>9789176853054</v>
      </c>
    </row>
    <row r="103" spans="1:4" ht="30" x14ac:dyDescent="0.25">
      <c r="A103" s="7" t="s">
        <v>2559</v>
      </c>
      <c r="B103" s="8" t="s">
        <v>2560</v>
      </c>
      <c r="C103" s="8" t="s">
        <v>562</v>
      </c>
      <c r="D103" s="8" t="str">
        <f>"9780822374701"</f>
        <v>9780822374701</v>
      </c>
    </row>
    <row r="104" spans="1:4" x14ac:dyDescent="0.25">
      <c r="A104" s="7" t="s">
        <v>594</v>
      </c>
      <c r="B104" s="8" t="s">
        <v>595</v>
      </c>
      <c r="C104" s="8" t="s">
        <v>562</v>
      </c>
      <c r="D104" s="8" t="str">
        <f>"9780822392682"</f>
        <v>9780822392682</v>
      </c>
    </row>
    <row r="105" spans="1:4" x14ac:dyDescent="0.25">
      <c r="A105" s="7" t="s">
        <v>15959</v>
      </c>
      <c r="B105" s="8" t="s">
        <v>15960</v>
      </c>
      <c r="C105" s="8" t="s">
        <v>1865</v>
      </c>
      <c r="D105" s="8" t="str">
        <f>"9789185715237"</f>
        <v>9789185715237</v>
      </c>
    </row>
    <row r="106" spans="1:4" x14ac:dyDescent="0.25">
      <c r="A106" s="7" t="s">
        <v>15204</v>
      </c>
      <c r="B106" s="8" t="s">
        <v>2445</v>
      </c>
      <c r="C106" s="8" t="s">
        <v>1865</v>
      </c>
      <c r="D106" s="8" t="str">
        <f>"9789175195360"</f>
        <v>9789175195360</v>
      </c>
    </row>
    <row r="107" spans="1:4" ht="30" x14ac:dyDescent="0.25">
      <c r="A107" s="7" t="s">
        <v>2444</v>
      </c>
      <c r="B107" s="8" t="s">
        <v>2445</v>
      </c>
      <c r="C107" s="8" t="s">
        <v>1865</v>
      </c>
      <c r="D107" s="8" t="str">
        <f>"9789176859667"</f>
        <v>9789176859667</v>
      </c>
    </row>
    <row r="108" spans="1:4" ht="30" x14ac:dyDescent="0.25">
      <c r="A108" s="7" t="s">
        <v>15305</v>
      </c>
      <c r="B108" s="8" t="s">
        <v>3355</v>
      </c>
      <c r="C108" s="8" t="s">
        <v>1865</v>
      </c>
      <c r="D108" s="8" t="str">
        <f>"9789175191188"</f>
        <v>9789175191188</v>
      </c>
    </row>
    <row r="109" spans="1:4" x14ac:dyDescent="0.25">
      <c r="A109" s="7" t="s">
        <v>8932</v>
      </c>
      <c r="B109" s="8" t="s">
        <v>8933</v>
      </c>
      <c r="C109" s="8" t="s">
        <v>2273</v>
      </c>
      <c r="D109" s="8" t="str">
        <f>"9783030773632"</f>
        <v>9783030773632</v>
      </c>
    </row>
    <row r="110" spans="1:4" x14ac:dyDescent="0.25">
      <c r="A110" s="7" t="s">
        <v>1258</v>
      </c>
      <c r="B110" s="8" t="s">
        <v>1259</v>
      </c>
      <c r="C110" s="8" t="s">
        <v>1224</v>
      </c>
      <c r="D110" s="8" t="str">
        <f>"9781618110206"</f>
        <v>9781618110206</v>
      </c>
    </row>
    <row r="111" spans="1:4" ht="30" x14ac:dyDescent="0.25">
      <c r="A111" s="7" t="s">
        <v>11018</v>
      </c>
      <c r="B111" s="8" t="s">
        <v>11019</v>
      </c>
      <c r="C111" s="8" t="s">
        <v>1879</v>
      </c>
      <c r="D111" s="8" t="str">
        <f>"9781800644069"</f>
        <v>9781800644069</v>
      </c>
    </row>
    <row r="112" spans="1:4" x14ac:dyDescent="0.25">
      <c r="A112" s="7" t="s">
        <v>1242</v>
      </c>
      <c r="B112" s="8" t="s">
        <v>1243</v>
      </c>
      <c r="C112" s="8" t="s">
        <v>1224</v>
      </c>
      <c r="D112" s="8" t="str">
        <f>"9781618116970"</f>
        <v>9781618116970</v>
      </c>
    </row>
    <row r="113" spans="1:4" x14ac:dyDescent="0.25">
      <c r="A113" s="7" t="s">
        <v>5506</v>
      </c>
      <c r="B113" s="8" t="s">
        <v>5507</v>
      </c>
      <c r="C113" s="8" t="s">
        <v>1036</v>
      </c>
      <c r="D113" s="8" t="str">
        <f>"9789027263131"</f>
        <v>9789027263131</v>
      </c>
    </row>
    <row r="114" spans="1:4" ht="30" x14ac:dyDescent="0.25">
      <c r="A114" s="7" t="s">
        <v>14376</v>
      </c>
      <c r="B114" s="8" t="s">
        <v>14377</v>
      </c>
      <c r="C114" s="8" t="s">
        <v>1879</v>
      </c>
      <c r="D114" s="8" t="str">
        <f>"9781800647305"</f>
        <v>9781800647305</v>
      </c>
    </row>
    <row r="115" spans="1:4" ht="30" x14ac:dyDescent="0.25">
      <c r="A115" s="7" t="s">
        <v>14677</v>
      </c>
      <c r="B115" s="8" t="s">
        <v>14678</v>
      </c>
      <c r="C115" s="8" t="s">
        <v>1865</v>
      </c>
      <c r="D115" s="8" t="str">
        <f>"9789179293680"</f>
        <v>9789179293680</v>
      </c>
    </row>
    <row r="116" spans="1:4" x14ac:dyDescent="0.25">
      <c r="A116" s="7" t="s">
        <v>2750</v>
      </c>
      <c r="B116" s="8" t="s">
        <v>2751</v>
      </c>
      <c r="C116" s="8" t="s">
        <v>1865</v>
      </c>
      <c r="D116" s="8" t="str">
        <f>"9789176856949"</f>
        <v>9789176856949</v>
      </c>
    </row>
    <row r="117" spans="1:4" x14ac:dyDescent="0.25">
      <c r="A117" s="7" t="s">
        <v>10991</v>
      </c>
      <c r="B117" s="8" t="s">
        <v>10992</v>
      </c>
      <c r="C117" s="8" t="s">
        <v>1865</v>
      </c>
      <c r="D117" s="8" t="str">
        <f>"9789179293123"</f>
        <v>9789179293123</v>
      </c>
    </row>
    <row r="118" spans="1:4" x14ac:dyDescent="0.25">
      <c r="A118" s="7" t="s">
        <v>14474</v>
      </c>
      <c r="B118" s="8" t="s">
        <v>14475</v>
      </c>
      <c r="C118" s="8" t="s">
        <v>1865</v>
      </c>
      <c r="D118" s="8" t="str">
        <f>"9789179292294"</f>
        <v>9789179292294</v>
      </c>
    </row>
    <row r="119" spans="1:4" x14ac:dyDescent="0.25">
      <c r="A119" s="7" t="s">
        <v>2583</v>
      </c>
      <c r="B119" s="8" t="s">
        <v>2584</v>
      </c>
      <c r="C119" s="8" t="s">
        <v>1342</v>
      </c>
      <c r="D119" s="8" t="str">
        <f>"9789633861462"</f>
        <v>9789633861462</v>
      </c>
    </row>
    <row r="120" spans="1:4" x14ac:dyDescent="0.25">
      <c r="A120" s="7" t="s">
        <v>2317</v>
      </c>
      <c r="B120" s="8" t="s">
        <v>2318</v>
      </c>
      <c r="C120" s="8" t="s">
        <v>355</v>
      </c>
      <c r="D120" s="8" t="str">
        <f>"9783110468007"</f>
        <v>9783110468007</v>
      </c>
    </row>
    <row r="121" spans="1:4" x14ac:dyDescent="0.25">
      <c r="A121" s="7" t="s">
        <v>15502</v>
      </c>
      <c r="B121" s="8" t="s">
        <v>9118</v>
      </c>
      <c r="C121" s="8" t="s">
        <v>1865</v>
      </c>
      <c r="D121" s="8" t="str">
        <f>"9789176852224"</f>
        <v>9789176852224</v>
      </c>
    </row>
    <row r="122" spans="1:4" x14ac:dyDescent="0.25">
      <c r="A122" s="7" t="s">
        <v>9117</v>
      </c>
      <c r="B122" s="8" t="s">
        <v>9118</v>
      </c>
      <c r="C122" s="8" t="s">
        <v>1865</v>
      </c>
      <c r="D122" s="8" t="str">
        <f>"9789179292508"</f>
        <v>9789179292508</v>
      </c>
    </row>
    <row r="123" spans="1:4" x14ac:dyDescent="0.25">
      <c r="A123" s="7" t="s">
        <v>14923</v>
      </c>
      <c r="B123" s="8" t="s">
        <v>6877</v>
      </c>
      <c r="C123" s="8" t="s">
        <v>1865</v>
      </c>
      <c r="D123" s="8" t="str">
        <f>"9789175190136"</f>
        <v>9789175190136</v>
      </c>
    </row>
    <row r="124" spans="1:4" x14ac:dyDescent="0.25">
      <c r="A124" s="7" t="s">
        <v>5863</v>
      </c>
      <c r="B124" s="8" t="s">
        <v>5864</v>
      </c>
      <c r="C124" s="8" t="s">
        <v>2273</v>
      </c>
      <c r="D124" s="8" t="str">
        <f>"9783319723563"</f>
        <v>9783319723563</v>
      </c>
    </row>
    <row r="125" spans="1:4" x14ac:dyDescent="0.25">
      <c r="A125" s="7" t="s">
        <v>14551</v>
      </c>
      <c r="B125" s="8" t="s">
        <v>14552</v>
      </c>
      <c r="C125" s="8" t="s">
        <v>1865</v>
      </c>
      <c r="D125" s="8" t="str">
        <f>"9789179290467"</f>
        <v>9789179290467</v>
      </c>
    </row>
    <row r="126" spans="1:4" x14ac:dyDescent="0.25">
      <c r="A126" s="7" t="s">
        <v>5057</v>
      </c>
      <c r="B126" s="8" t="s">
        <v>5058</v>
      </c>
      <c r="C126" s="8" t="s">
        <v>1879</v>
      </c>
      <c r="D126" s="8" t="str">
        <f>"9781800640139"</f>
        <v>9781800640139</v>
      </c>
    </row>
    <row r="127" spans="1:4" x14ac:dyDescent="0.25">
      <c r="A127" s="7" t="s">
        <v>6230</v>
      </c>
      <c r="B127" s="8" t="s">
        <v>6231</v>
      </c>
      <c r="C127" s="8" t="s">
        <v>2273</v>
      </c>
      <c r="D127" s="8" t="str">
        <f>"9783319697727"</f>
        <v>9783319697727</v>
      </c>
    </row>
    <row r="128" spans="1:4" x14ac:dyDescent="0.25">
      <c r="A128" s="7" t="s">
        <v>14664</v>
      </c>
      <c r="B128" s="8" t="s">
        <v>14665</v>
      </c>
      <c r="C128" s="8" t="s">
        <v>1865</v>
      </c>
      <c r="D128" s="8" t="str">
        <f>"9789179293260"</f>
        <v>9789179293260</v>
      </c>
    </row>
    <row r="129" spans="1:4" x14ac:dyDescent="0.25">
      <c r="A129" s="7" t="s">
        <v>3632</v>
      </c>
      <c r="B129" s="8" t="s">
        <v>3633</v>
      </c>
      <c r="C129" s="8" t="s">
        <v>1865</v>
      </c>
      <c r="D129" s="8" t="str">
        <f>"9789176853108"</f>
        <v>9789176853108</v>
      </c>
    </row>
    <row r="130" spans="1:4" ht="30" x14ac:dyDescent="0.25">
      <c r="A130" s="7" t="s">
        <v>14985</v>
      </c>
      <c r="B130" s="8" t="s">
        <v>14986</v>
      </c>
      <c r="C130" s="8" t="s">
        <v>1865</v>
      </c>
      <c r="D130" s="8" t="str">
        <f>"9789179299491"</f>
        <v>9789179299491</v>
      </c>
    </row>
    <row r="131" spans="1:4" x14ac:dyDescent="0.25">
      <c r="A131" s="7" t="s">
        <v>4968</v>
      </c>
      <c r="B131" s="8" t="s">
        <v>4969</v>
      </c>
      <c r="C131" s="8" t="s">
        <v>1865</v>
      </c>
      <c r="D131" s="8" t="str">
        <f>"9789179298555"</f>
        <v>9789179298555</v>
      </c>
    </row>
    <row r="132" spans="1:4" x14ac:dyDescent="0.25">
      <c r="A132" s="7" t="s">
        <v>4302</v>
      </c>
      <c r="B132" s="8" t="s">
        <v>4303</v>
      </c>
      <c r="C132" s="8" t="s">
        <v>1879</v>
      </c>
      <c r="D132" s="8" t="str">
        <f>"9781783745616"</f>
        <v>9781783745616</v>
      </c>
    </row>
    <row r="133" spans="1:4" x14ac:dyDescent="0.25">
      <c r="A133" s="7" t="s">
        <v>4697</v>
      </c>
      <c r="B133" s="8" t="s">
        <v>4698</v>
      </c>
      <c r="C133" s="8" t="s">
        <v>562</v>
      </c>
      <c r="D133" s="8" t="str">
        <f>"9781478003380"</f>
        <v>9781478003380</v>
      </c>
    </row>
    <row r="134" spans="1:4" x14ac:dyDescent="0.25">
      <c r="A134" s="7" t="s">
        <v>15236</v>
      </c>
      <c r="B134" s="8" t="s">
        <v>2948</v>
      </c>
      <c r="C134" s="8" t="s">
        <v>1865</v>
      </c>
      <c r="D134" s="8" t="str">
        <f>"9789175193014"</f>
        <v>9789175193014</v>
      </c>
    </row>
    <row r="135" spans="1:4" x14ac:dyDescent="0.25">
      <c r="A135" s="7" t="s">
        <v>4499</v>
      </c>
      <c r="B135" s="8" t="s">
        <v>4500</v>
      </c>
      <c r="C135" s="8" t="s">
        <v>562</v>
      </c>
      <c r="D135" s="8" t="str">
        <f>"9781478004516"</f>
        <v>9781478004516</v>
      </c>
    </row>
    <row r="136" spans="1:4" x14ac:dyDescent="0.25">
      <c r="A136" s="7" t="s">
        <v>808</v>
      </c>
      <c r="B136" s="8" t="s">
        <v>809</v>
      </c>
      <c r="C136" s="8" t="s">
        <v>316</v>
      </c>
      <c r="D136" s="8" t="str">
        <f>"9783110354782"</f>
        <v>9783110354782</v>
      </c>
    </row>
    <row r="137" spans="1:4" x14ac:dyDescent="0.25">
      <c r="A137" s="7" t="s">
        <v>2888</v>
      </c>
      <c r="B137" s="8" t="s">
        <v>2889</v>
      </c>
      <c r="C137" s="8" t="s">
        <v>1036</v>
      </c>
      <c r="D137" s="8" t="str">
        <f>"9789027266330"</f>
        <v>9789027266330</v>
      </c>
    </row>
    <row r="138" spans="1:4" x14ac:dyDescent="0.25">
      <c r="A138" s="7" t="s">
        <v>12419</v>
      </c>
      <c r="B138" s="8" t="s">
        <v>12420</v>
      </c>
      <c r="C138" s="8" t="s">
        <v>2273</v>
      </c>
      <c r="D138" s="8" t="str">
        <f>"9783030950880"</f>
        <v>9783030950880</v>
      </c>
    </row>
    <row r="139" spans="1:4" x14ac:dyDescent="0.25">
      <c r="A139" s="7" t="s">
        <v>16362</v>
      </c>
      <c r="B139" s="8" t="s">
        <v>16363</v>
      </c>
      <c r="C139" s="8" t="s">
        <v>1865</v>
      </c>
      <c r="D139" s="8" t="str">
        <f>"9789175191089"</f>
        <v>9789175191089</v>
      </c>
    </row>
    <row r="140" spans="1:4" ht="30" x14ac:dyDescent="0.25">
      <c r="A140" s="7" t="s">
        <v>6666</v>
      </c>
      <c r="B140" s="8" t="s">
        <v>6667</v>
      </c>
      <c r="C140" s="8" t="s">
        <v>1865</v>
      </c>
      <c r="D140" s="8" t="str">
        <f>"9789179297190"</f>
        <v>9789179297190</v>
      </c>
    </row>
    <row r="141" spans="1:4" x14ac:dyDescent="0.25">
      <c r="A141" s="7" t="s">
        <v>11995</v>
      </c>
      <c r="B141" s="8" t="s">
        <v>11996</v>
      </c>
      <c r="C141" s="8" t="s">
        <v>316</v>
      </c>
      <c r="D141" s="8" t="str">
        <f>"9783110733853"</f>
        <v>9783110733853</v>
      </c>
    </row>
    <row r="142" spans="1:4" x14ac:dyDescent="0.25">
      <c r="A142" s="7" t="s">
        <v>12678</v>
      </c>
      <c r="B142" s="8" t="s">
        <v>12679</v>
      </c>
      <c r="C142" s="8" t="s">
        <v>2273</v>
      </c>
      <c r="D142" s="8" t="str">
        <f>"9783031058639"</f>
        <v>9783031058639</v>
      </c>
    </row>
    <row r="143" spans="1:4" x14ac:dyDescent="0.25">
      <c r="A143" s="7" t="s">
        <v>8886</v>
      </c>
      <c r="B143" s="8" t="s">
        <v>8887</v>
      </c>
      <c r="C143" s="8" t="s">
        <v>2273</v>
      </c>
      <c r="D143" s="8" t="str">
        <f>"9783030882037"</f>
        <v>9783030882037</v>
      </c>
    </row>
    <row r="144" spans="1:4" x14ac:dyDescent="0.25">
      <c r="A144" s="7" t="s">
        <v>7901</v>
      </c>
      <c r="B144" s="8" t="s">
        <v>7902</v>
      </c>
      <c r="C144" s="8" t="s">
        <v>1879</v>
      </c>
      <c r="D144" s="8" t="str">
        <f>"9781783749430"</f>
        <v>9781783749430</v>
      </c>
    </row>
    <row r="145" spans="1:4" x14ac:dyDescent="0.25">
      <c r="A145" s="7" t="s">
        <v>5741</v>
      </c>
      <c r="B145" s="8" t="s">
        <v>5742</v>
      </c>
      <c r="C145" s="8" t="s">
        <v>2273</v>
      </c>
      <c r="D145" s="8" t="str">
        <f>"9783319311135"</f>
        <v>9783319311135</v>
      </c>
    </row>
    <row r="146" spans="1:4" x14ac:dyDescent="0.25">
      <c r="A146" s="7" t="s">
        <v>5817</v>
      </c>
      <c r="B146" s="8" t="s">
        <v>5818</v>
      </c>
      <c r="C146" s="8" t="s">
        <v>5228</v>
      </c>
      <c r="D146" s="8" t="str">
        <f>"9781137448880"</f>
        <v>9781137448880</v>
      </c>
    </row>
    <row r="147" spans="1:4" ht="30" x14ac:dyDescent="0.25">
      <c r="A147" s="7" t="s">
        <v>5680</v>
      </c>
      <c r="B147" s="8" t="s">
        <v>5681</v>
      </c>
      <c r="C147" s="8" t="s">
        <v>2273</v>
      </c>
      <c r="D147" s="8" t="str">
        <f>"9783319286242"</f>
        <v>9783319286242</v>
      </c>
    </row>
    <row r="148" spans="1:4" x14ac:dyDescent="0.25">
      <c r="A148" s="7" t="s">
        <v>5792</v>
      </c>
      <c r="B148" s="8" t="s">
        <v>5793</v>
      </c>
      <c r="C148" s="8" t="s">
        <v>5228</v>
      </c>
      <c r="D148" s="8" t="str">
        <f>"9781137529626"</f>
        <v>9781137529626</v>
      </c>
    </row>
    <row r="149" spans="1:4" x14ac:dyDescent="0.25">
      <c r="A149" s="7" t="s">
        <v>359</v>
      </c>
      <c r="B149" s="8" t="s">
        <v>360</v>
      </c>
      <c r="C149" s="8" t="s">
        <v>227</v>
      </c>
      <c r="D149" s="8" t="str">
        <f>"9781847791252"</f>
        <v>9781847791252</v>
      </c>
    </row>
    <row r="150" spans="1:4" ht="30" x14ac:dyDescent="0.25">
      <c r="A150" s="7" t="s">
        <v>10756</v>
      </c>
      <c r="B150" s="8" t="s">
        <v>10757</v>
      </c>
      <c r="C150" s="8" t="s">
        <v>1876</v>
      </c>
      <c r="D150" s="8" t="str">
        <f>"9781921867231"</f>
        <v>9781921867231</v>
      </c>
    </row>
    <row r="151" spans="1:4" ht="30" x14ac:dyDescent="0.25">
      <c r="A151" s="7" t="s">
        <v>9478</v>
      </c>
      <c r="B151" s="8" t="s">
        <v>9479</v>
      </c>
      <c r="C151" s="8" t="s">
        <v>9476</v>
      </c>
      <c r="D151" s="8" t="str">
        <f>"9781800101050"</f>
        <v>9781800101050</v>
      </c>
    </row>
    <row r="152" spans="1:4" ht="30" x14ac:dyDescent="0.25">
      <c r="A152" s="7" t="s">
        <v>1248</v>
      </c>
      <c r="B152" s="8" t="s">
        <v>1249</v>
      </c>
      <c r="C152" s="8" t="s">
        <v>1224</v>
      </c>
      <c r="D152" s="8" t="str">
        <f>"9781618110039"</f>
        <v>9781618110039</v>
      </c>
    </row>
    <row r="153" spans="1:4" x14ac:dyDescent="0.25">
      <c r="A153" s="7" t="s">
        <v>1048</v>
      </c>
      <c r="B153" s="8" t="s">
        <v>1049</v>
      </c>
      <c r="C153" s="8" t="s">
        <v>562</v>
      </c>
      <c r="D153" s="8" t="str">
        <f>"9780822392071"</f>
        <v>9780822392071</v>
      </c>
    </row>
    <row r="154" spans="1:4" x14ac:dyDescent="0.25">
      <c r="A154" s="7" t="s">
        <v>11402</v>
      </c>
      <c r="B154" s="8" t="s">
        <v>11403</v>
      </c>
      <c r="C154" s="8" t="s">
        <v>316</v>
      </c>
      <c r="D154" s="8" t="str">
        <f>"9783110880038"</f>
        <v>9783110880038</v>
      </c>
    </row>
    <row r="155" spans="1:4" x14ac:dyDescent="0.25">
      <c r="A155" s="7" t="s">
        <v>5059</v>
      </c>
      <c r="B155" s="8" t="s">
        <v>5060</v>
      </c>
      <c r="C155" s="8" t="s">
        <v>1879</v>
      </c>
      <c r="D155" s="8" t="str">
        <f>"9781783748174"</f>
        <v>9781783748174</v>
      </c>
    </row>
    <row r="156" spans="1:4" x14ac:dyDescent="0.25">
      <c r="A156" s="7" t="s">
        <v>5728</v>
      </c>
      <c r="B156" s="8" t="s">
        <v>5729</v>
      </c>
      <c r="C156" s="8" t="s">
        <v>2273</v>
      </c>
      <c r="D156" s="8" t="str">
        <f>"9783319204840"</f>
        <v>9783319204840</v>
      </c>
    </row>
    <row r="157" spans="1:4" ht="30" x14ac:dyDescent="0.25">
      <c r="A157" s="7" t="s">
        <v>13955</v>
      </c>
      <c r="B157" s="8" t="s">
        <v>13956</v>
      </c>
      <c r="C157" s="8" t="s">
        <v>2273</v>
      </c>
      <c r="D157" s="8" t="str">
        <f>"9783031122750"</f>
        <v>9783031122750</v>
      </c>
    </row>
    <row r="158" spans="1:4" x14ac:dyDescent="0.25">
      <c r="A158" s="7" t="s">
        <v>8972</v>
      </c>
      <c r="B158" s="8" t="s">
        <v>8973</v>
      </c>
      <c r="C158" s="8" t="s">
        <v>2273</v>
      </c>
      <c r="D158" s="8" t="str">
        <f>"9783030780630"</f>
        <v>9783030780630</v>
      </c>
    </row>
    <row r="159" spans="1:4" x14ac:dyDescent="0.25">
      <c r="A159" s="7" t="s">
        <v>2375</v>
      </c>
      <c r="B159" s="8" t="s">
        <v>2376</v>
      </c>
      <c r="C159" s="8" t="s">
        <v>1879</v>
      </c>
      <c r="D159" s="8" t="str">
        <f>"9781783741540"</f>
        <v>9781783741540</v>
      </c>
    </row>
    <row r="160" spans="1:4" x14ac:dyDescent="0.25">
      <c r="A160" s="7" t="s">
        <v>3630</v>
      </c>
      <c r="B160" s="8" t="s">
        <v>3631</v>
      </c>
      <c r="C160" s="8" t="s">
        <v>562</v>
      </c>
      <c r="D160" s="8" t="str">
        <f>"9780822371984"</f>
        <v>9780822371984</v>
      </c>
    </row>
    <row r="161" spans="1:4" x14ac:dyDescent="0.25">
      <c r="A161" s="7" t="s">
        <v>10365</v>
      </c>
      <c r="B161" s="8" t="s">
        <v>10366</v>
      </c>
      <c r="C161" s="8" t="s">
        <v>993</v>
      </c>
      <c r="D161" s="8" t="str">
        <f>"9783839452653"</f>
        <v>9783839452653</v>
      </c>
    </row>
    <row r="162" spans="1:4" ht="30" x14ac:dyDescent="0.25">
      <c r="A162" s="7" t="s">
        <v>8716</v>
      </c>
      <c r="B162" s="8" t="s">
        <v>8717</v>
      </c>
      <c r="C162" s="8" t="s">
        <v>1865</v>
      </c>
      <c r="D162" s="8" t="str">
        <f>"9789179290412"</f>
        <v>9789179290412</v>
      </c>
    </row>
    <row r="163" spans="1:4" ht="30" x14ac:dyDescent="0.25">
      <c r="A163" s="7" t="s">
        <v>8588</v>
      </c>
      <c r="B163" s="8" t="s">
        <v>8589</v>
      </c>
      <c r="C163" s="8" t="s">
        <v>1865</v>
      </c>
      <c r="D163" s="8" t="str">
        <f>"9789179290382"</f>
        <v>9789179290382</v>
      </c>
    </row>
    <row r="164" spans="1:4" ht="30" x14ac:dyDescent="0.25">
      <c r="A164" s="7" t="s">
        <v>9475</v>
      </c>
      <c r="B164" s="8" t="s">
        <v>9477</v>
      </c>
      <c r="C164" s="8" t="s">
        <v>9476</v>
      </c>
      <c r="D164" s="8" t="str">
        <f>"9781800100473"</f>
        <v>9781800100473</v>
      </c>
    </row>
    <row r="165" spans="1:4" x14ac:dyDescent="0.25">
      <c r="A165" s="7" t="s">
        <v>10746</v>
      </c>
      <c r="B165" s="8" t="s">
        <v>10747</v>
      </c>
      <c r="C165" s="8" t="s">
        <v>1876</v>
      </c>
      <c r="D165" s="8" t="str">
        <f>"9780980651256"</f>
        <v>9780980651256</v>
      </c>
    </row>
    <row r="166" spans="1:4" x14ac:dyDescent="0.25">
      <c r="A166" s="7" t="s">
        <v>2301</v>
      </c>
      <c r="B166" s="8" t="s">
        <v>855</v>
      </c>
      <c r="C166" s="8" t="s">
        <v>355</v>
      </c>
      <c r="D166" s="8" t="str">
        <f>"9783110468243"</f>
        <v>9783110468243</v>
      </c>
    </row>
    <row r="167" spans="1:4" x14ac:dyDescent="0.25">
      <c r="A167" s="7" t="s">
        <v>1883</v>
      </c>
      <c r="B167" s="8" t="s">
        <v>1884</v>
      </c>
      <c r="C167" s="8" t="s">
        <v>1879</v>
      </c>
      <c r="D167" s="8" t="str">
        <f>"9781909254121"</f>
        <v>9781909254121</v>
      </c>
    </row>
    <row r="168" spans="1:4" x14ac:dyDescent="0.25">
      <c r="A168" s="7" t="s">
        <v>5227</v>
      </c>
      <c r="B168" s="8" t="s">
        <v>5229</v>
      </c>
      <c r="C168" s="8" t="s">
        <v>5228</v>
      </c>
      <c r="D168" s="8" t="str">
        <f>"9781137426024"</f>
        <v>9781137426024</v>
      </c>
    </row>
    <row r="169" spans="1:4" x14ac:dyDescent="0.25">
      <c r="A169" s="7" t="s">
        <v>11020</v>
      </c>
      <c r="B169" s="8" t="s">
        <v>11021</v>
      </c>
      <c r="C169" s="8" t="s">
        <v>1879</v>
      </c>
      <c r="D169" s="8" t="str">
        <f>"9781800644243"</f>
        <v>9781800644243</v>
      </c>
    </row>
    <row r="170" spans="1:4" ht="30" x14ac:dyDescent="0.25">
      <c r="A170" s="7" t="s">
        <v>9004</v>
      </c>
      <c r="B170" s="8" t="s">
        <v>9005</v>
      </c>
      <c r="C170" s="8" t="s">
        <v>2082</v>
      </c>
      <c r="D170" s="8" t="str">
        <f>"9780472902613"</f>
        <v>9780472902613</v>
      </c>
    </row>
    <row r="171" spans="1:4" x14ac:dyDescent="0.25">
      <c r="A171" s="7" t="s">
        <v>8425</v>
      </c>
      <c r="B171" s="8" t="s">
        <v>8426</v>
      </c>
      <c r="C171" s="8" t="s">
        <v>993</v>
      </c>
      <c r="D171" s="8" t="str">
        <f>"9783839441329"</f>
        <v>9783839441329</v>
      </c>
    </row>
    <row r="172" spans="1:4" ht="30" x14ac:dyDescent="0.25">
      <c r="A172" s="7" t="s">
        <v>6062</v>
      </c>
      <c r="B172" s="8" t="s">
        <v>6063</v>
      </c>
      <c r="C172" s="8" t="s">
        <v>5484</v>
      </c>
      <c r="D172" s="8" t="str">
        <f>"9781430265849"</f>
        <v>9781430265849</v>
      </c>
    </row>
    <row r="173" spans="1:4" x14ac:dyDescent="0.25">
      <c r="A173" s="7" t="s">
        <v>3856</v>
      </c>
      <c r="B173" s="8" t="s">
        <v>3857</v>
      </c>
      <c r="C173" s="8" t="s">
        <v>355</v>
      </c>
      <c r="D173" s="8" t="str">
        <f>"9783110517378"</f>
        <v>9783110517378</v>
      </c>
    </row>
    <row r="174" spans="1:4" x14ac:dyDescent="0.25">
      <c r="A174" s="7" t="s">
        <v>9632</v>
      </c>
      <c r="B174" s="8" t="s">
        <v>9633</v>
      </c>
      <c r="C174" s="8" t="s">
        <v>2273</v>
      </c>
      <c r="D174" s="8" t="str">
        <f>"9783030852580"</f>
        <v>9783030852580</v>
      </c>
    </row>
    <row r="175" spans="1:4" x14ac:dyDescent="0.25">
      <c r="A175" s="7" t="s">
        <v>9142</v>
      </c>
      <c r="B175" s="8" t="s">
        <v>9143</v>
      </c>
      <c r="C175" s="8" t="s">
        <v>9138</v>
      </c>
      <c r="D175" s="8" t="str">
        <f>"9780520382558"</f>
        <v>9780520382558</v>
      </c>
    </row>
    <row r="176" spans="1:4" x14ac:dyDescent="0.25">
      <c r="A176" s="7" t="s">
        <v>15598</v>
      </c>
      <c r="B176" s="8" t="s">
        <v>15599</v>
      </c>
      <c r="C176" s="8" t="s">
        <v>1865</v>
      </c>
      <c r="D176" s="8" t="str">
        <f>"9789176855898"</f>
        <v>9789176855898</v>
      </c>
    </row>
    <row r="177" spans="1:4" x14ac:dyDescent="0.25">
      <c r="A177" s="7" t="s">
        <v>15911</v>
      </c>
      <c r="B177" s="8" t="s">
        <v>15912</v>
      </c>
      <c r="C177" s="8" t="s">
        <v>1865</v>
      </c>
      <c r="D177" s="8" t="str">
        <f>"9789179292645"</f>
        <v>9789179292645</v>
      </c>
    </row>
    <row r="178" spans="1:4" x14ac:dyDescent="0.25">
      <c r="A178" s="7" t="s">
        <v>1230</v>
      </c>
      <c r="B178" s="8" t="s">
        <v>1231</v>
      </c>
      <c r="C178" s="8" t="s">
        <v>1224</v>
      </c>
      <c r="D178" s="8" t="str">
        <f>"9781618117052"</f>
        <v>9781618117052</v>
      </c>
    </row>
    <row r="179" spans="1:4" x14ac:dyDescent="0.25">
      <c r="A179" s="7" t="s">
        <v>8712</v>
      </c>
      <c r="B179" s="8" t="s">
        <v>8713</v>
      </c>
      <c r="C179" s="8" t="s">
        <v>1865</v>
      </c>
      <c r="D179" s="8" t="str">
        <f>"9789179291235"</f>
        <v>9789179291235</v>
      </c>
    </row>
    <row r="180" spans="1:4" x14ac:dyDescent="0.25">
      <c r="A180" s="7" t="s">
        <v>9511</v>
      </c>
      <c r="B180" s="8" t="s">
        <v>9512</v>
      </c>
      <c r="C180" s="8" t="s">
        <v>1879</v>
      </c>
      <c r="D180" s="8" t="str">
        <f>"9781800643581"</f>
        <v>9781800643581</v>
      </c>
    </row>
    <row r="181" spans="1:4" x14ac:dyDescent="0.25">
      <c r="A181" s="7" t="s">
        <v>12466</v>
      </c>
      <c r="B181" s="8" t="s">
        <v>7197</v>
      </c>
      <c r="C181" s="8" t="s">
        <v>355</v>
      </c>
      <c r="D181" s="8" t="str">
        <f>"9783110784459"</f>
        <v>9783110784459</v>
      </c>
    </row>
    <row r="182" spans="1:4" x14ac:dyDescent="0.25">
      <c r="A182" s="7" t="s">
        <v>14003</v>
      </c>
      <c r="B182" s="8" t="s">
        <v>14004</v>
      </c>
      <c r="C182" s="8" t="s">
        <v>13997</v>
      </c>
      <c r="D182" s="8" t="str">
        <f>"9789566095095"</f>
        <v>9789566095095</v>
      </c>
    </row>
    <row r="183" spans="1:4" x14ac:dyDescent="0.25">
      <c r="A183" s="7" t="s">
        <v>7754</v>
      </c>
      <c r="B183" s="8" t="s">
        <v>7755</v>
      </c>
      <c r="C183" s="8" t="s">
        <v>993</v>
      </c>
      <c r="D183" s="8" t="str">
        <f>"9783839432259"</f>
        <v>9783839432259</v>
      </c>
    </row>
    <row r="184" spans="1:4" x14ac:dyDescent="0.25">
      <c r="A184" s="7" t="s">
        <v>8039</v>
      </c>
      <c r="B184" s="8" t="s">
        <v>8040</v>
      </c>
      <c r="C184" s="8" t="s">
        <v>4882</v>
      </c>
      <c r="D184" s="8" t="str">
        <f>"9781800858626"</f>
        <v>9781800858626</v>
      </c>
    </row>
    <row r="185" spans="1:4" x14ac:dyDescent="0.25">
      <c r="A185" s="7" t="s">
        <v>14343</v>
      </c>
      <c r="B185" s="8" t="s">
        <v>14344</v>
      </c>
      <c r="C185" s="8" t="s">
        <v>329</v>
      </c>
      <c r="D185" s="8" t="str">
        <f>"9789400602779"</f>
        <v>9789400602779</v>
      </c>
    </row>
    <row r="186" spans="1:4" x14ac:dyDescent="0.25">
      <c r="A186" s="7" t="s">
        <v>15329</v>
      </c>
      <c r="B186" s="8" t="s">
        <v>15330</v>
      </c>
      <c r="C186" s="8" t="s">
        <v>1865</v>
      </c>
      <c r="D186" s="8" t="str">
        <f>"9789175193779"</f>
        <v>9789175193779</v>
      </c>
    </row>
    <row r="187" spans="1:4" x14ac:dyDescent="0.25">
      <c r="A187" s="7" t="s">
        <v>12369</v>
      </c>
      <c r="B187" s="8" t="s">
        <v>12370</v>
      </c>
      <c r="C187" s="8" t="s">
        <v>2082</v>
      </c>
      <c r="D187" s="8" t="str">
        <f>"9780472903122"</f>
        <v>9780472903122</v>
      </c>
    </row>
    <row r="188" spans="1:4" ht="30" x14ac:dyDescent="0.25">
      <c r="A188" s="7" t="s">
        <v>15121</v>
      </c>
      <c r="B188" s="8" t="s">
        <v>15122</v>
      </c>
      <c r="C188" s="8" t="s">
        <v>1865</v>
      </c>
      <c r="D188" s="8" t="str">
        <f>"9789180750738"</f>
        <v>9789180750738</v>
      </c>
    </row>
    <row r="189" spans="1:4" x14ac:dyDescent="0.25">
      <c r="A189" s="7" t="s">
        <v>14771</v>
      </c>
      <c r="B189" s="8" t="s">
        <v>14772</v>
      </c>
      <c r="C189" s="8" t="s">
        <v>1865</v>
      </c>
      <c r="D189" s="8" t="str">
        <f>"9789176857878"</f>
        <v>9789176857878</v>
      </c>
    </row>
    <row r="190" spans="1:4" ht="30" x14ac:dyDescent="0.25">
      <c r="A190" s="7" t="s">
        <v>15654</v>
      </c>
      <c r="B190" s="8" t="s">
        <v>15655</v>
      </c>
      <c r="C190" s="8" t="s">
        <v>1865</v>
      </c>
      <c r="D190" s="8" t="str">
        <f>"9789176850527"</f>
        <v>9789176850527</v>
      </c>
    </row>
    <row r="191" spans="1:4" x14ac:dyDescent="0.25">
      <c r="A191" s="7" t="s">
        <v>3157</v>
      </c>
      <c r="B191" s="8" t="s">
        <v>3158</v>
      </c>
      <c r="C191" s="8" t="s">
        <v>1865</v>
      </c>
      <c r="D191" s="8" t="str">
        <f>"9789176855072"</f>
        <v>9789176855072</v>
      </c>
    </row>
    <row r="192" spans="1:4" x14ac:dyDescent="0.25">
      <c r="A192" s="7" t="s">
        <v>11069</v>
      </c>
      <c r="B192" s="8" t="s">
        <v>11070</v>
      </c>
      <c r="C192" s="8" t="s">
        <v>6716</v>
      </c>
      <c r="D192" s="8" t="str">
        <f>"9780472902163"</f>
        <v>9780472902163</v>
      </c>
    </row>
    <row r="193" spans="1:4" x14ac:dyDescent="0.25">
      <c r="A193" s="7" t="s">
        <v>6916</v>
      </c>
      <c r="B193" s="8" t="s">
        <v>6917</v>
      </c>
      <c r="C193" s="8" t="s">
        <v>1342</v>
      </c>
      <c r="D193" s="8" t="str">
        <f>"9789633863206"</f>
        <v>9789633863206</v>
      </c>
    </row>
    <row r="194" spans="1:4" ht="30" x14ac:dyDescent="0.25">
      <c r="A194" s="7" t="s">
        <v>6779</v>
      </c>
      <c r="B194" s="8" t="s">
        <v>6780</v>
      </c>
      <c r="C194" s="8" t="s">
        <v>1865</v>
      </c>
      <c r="D194" s="8" t="str">
        <f>"9789179298746"</f>
        <v>9789179298746</v>
      </c>
    </row>
    <row r="195" spans="1:4" ht="30" x14ac:dyDescent="0.25">
      <c r="A195" s="7" t="s">
        <v>16045</v>
      </c>
      <c r="B195" s="8" t="s">
        <v>15399</v>
      </c>
      <c r="C195" s="8" t="s">
        <v>1865</v>
      </c>
      <c r="D195" s="8" t="str">
        <f>"9789175191812"</f>
        <v>9789175191812</v>
      </c>
    </row>
    <row r="196" spans="1:4" x14ac:dyDescent="0.25">
      <c r="A196" s="7" t="s">
        <v>14758</v>
      </c>
      <c r="B196" s="8" t="s">
        <v>14759</v>
      </c>
      <c r="C196" s="8" t="s">
        <v>1865</v>
      </c>
      <c r="D196" s="8" t="str">
        <f>"9789175197319"</f>
        <v>9789175197319</v>
      </c>
    </row>
    <row r="197" spans="1:4" ht="30" x14ac:dyDescent="0.25">
      <c r="A197" s="7" t="s">
        <v>15430</v>
      </c>
      <c r="B197" s="8" t="s">
        <v>2837</v>
      </c>
      <c r="C197" s="8" t="s">
        <v>1865</v>
      </c>
      <c r="D197" s="8" t="str">
        <f>"9789175191973"</f>
        <v>9789175191973</v>
      </c>
    </row>
    <row r="198" spans="1:4" ht="30" x14ac:dyDescent="0.25">
      <c r="A198" s="7" t="s">
        <v>15742</v>
      </c>
      <c r="B198" s="8" t="s">
        <v>15564</v>
      </c>
      <c r="C198" s="8" t="s">
        <v>1865</v>
      </c>
      <c r="D198" s="8" t="str">
        <f>"9789175192536"</f>
        <v>9789175192536</v>
      </c>
    </row>
    <row r="199" spans="1:4" x14ac:dyDescent="0.25">
      <c r="A199" s="7" t="s">
        <v>1953</v>
      </c>
      <c r="B199" s="8" t="s">
        <v>1954</v>
      </c>
      <c r="C199" s="8" t="s">
        <v>1879</v>
      </c>
      <c r="D199" s="8" t="str">
        <f>"9781783740390"</f>
        <v>9781783740390</v>
      </c>
    </row>
    <row r="200" spans="1:4" x14ac:dyDescent="0.25">
      <c r="A200" s="7" t="s">
        <v>14657</v>
      </c>
      <c r="B200" s="8" t="s">
        <v>14413</v>
      </c>
      <c r="C200" s="8" t="s">
        <v>1865</v>
      </c>
      <c r="D200" s="8" t="str">
        <f>"9789179298364"</f>
        <v>9789179298364</v>
      </c>
    </row>
    <row r="201" spans="1:4" x14ac:dyDescent="0.25">
      <c r="A201" s="7" t="s">
        <v>7031</v>
      </c>
      <c r="B201" s="8" t="s">
        <v>7032</v>
      </c>
      <c r="C201" s="8" t="s">
        <v>355</v>
      </c>
      <c r="D201" s="8" t="str">
        <f>"9783110627176"</f>
        <v>9783110627176</v>
      </c>
    </row>
    <row r="202" spans="1:4" x14ac:dyDescent="0.25">
      <c r="A202" s="7" t="s">
        <v>716</v>
      </c>
      <c r="B202" s="8" t="s">
        <v>717</v>
      </c>
      <c r="C202" s="8" t="s">
        <v>316</v>
      </c>
      <c r="D202" s="8" t="str">
        <f>"9783110322705"</f>
        <v>9783110322705</v>
      </c>
    </row>
    <row r="203" spans="1:4" x14ac:dyDescent="0.25">
      <c r="A203" s="7" t="s">
        <v>926</v>
      </c>
      <c r="B203" s="8" t="s">
        <v>927</v>
      </c>
      <c r="C203" s="8" t="s">
        <v>355</v>
      </c>
      <c r="D203" s="8" t="str">
        <f>"9783110411317"</f>
        <v>9783110411317</v>
      </c>
    </row>
    <row r="204" spans="1:4" x14ac:dyDescent="0.25">
      <c r="A204" s="7" t="s">
        <v>4970</v>
      </c>
      <c r="B204" s="8" t="s">
        <v>4971</v>
      </c>
      <c r="C204" s="8" t="s">
        <v>1865</v>
      </c>
      <c r="D204" s="8" t="str">
        <f>"9789179298647"</f>
        <v>9789179298647</v>
      </c>
    </row>
    <row r="205" spans="1:4" x14ac:dyDescent="0.25">
      <c r="A205" s="7" t="s">
        <v>14997</v>
      </c>
      <c r="B205" s="8" t="s">
        <v>14998</v>
      </c>
      <c r="C205" s="8" t="s">
        <v>1865</v>
      </c>
      <c r="D205" s="8" t="str">
        <f>"9789175196060"</f>
        <v>9789175196060</v>
      </c>
    </row>
    <row r="206" spans="1:4" x14ac:dyDescent="0.25">
      <c r="A206" s="7" t="s">
        <v>10995</v>
      </c>
      <c r="B206" s="8" t="s">
        <v>10996</v>
      </c>
      <c r="C206" s="8" t="s">
        <v>4882</v>
      </c>
      <c r="D206" s="8" t="str">
        <f>"9781802070675"</f>
        <v>9781802070675</v>
      </c>
    </row>
    <row r="207" spans="1:4" x14ac:dyDescent="0.25">
      <c r="A207" s="7" t="s">
        <v>16112</v>
      </c>
      <c r="B207" s="8" t="s">
        <v>16113</v>
      </c>
      <c r="C207" s="8" t="s">
        <v>1865</v>
      </c>
      <c r="D207" s="8" t="str">
        <f>"9789175190631"</f>
        <v>9789175190631</v>
      </c>
    </row>
    <row r="208" spans="1:4" x14ac:dyDescent="0.25">
      <c r="A208" s="7" t="s">
        <v>6888</v>
      </c>
      <c r="B208" s="8" t="s">
        <v>6889</v>
      </c>
      <c r="C208" s="8" t="s">
        <v>1879</v>
      </c>
      <c r="D208" s="8" t="str">
        <f>"9781800641549"</f>
        <v>9781800641549</v>
      </c>
    </row>
    <row r="209" spans="1:4" x14ac:dyDescent="0.25">
      <c r="A209" s="7" t="s">
        <v>7790</v>
      </c>
      <c r="B209" s="8" t="s">
        <v>7791</v>
      </c>
      <c r="C209" s="8" t="s">
        <v>2273</v>
      </c>
      <c r="D209" s="8" t="str">
        <f>"9783030678067"</f>
        <v>9783030678067</v>
      </c>
    </row>
    <row r="210" spans="1:4" x14ac:dyDescent="0.25">
      <c r="A210" s="7" t="s">
        <v>254</v>
      </c>
      <c r="B210" s="8" t="s">
        <v>255</v>
      </c>
      <c r="C210" s="8" t="s">
        <v>227</v>
      </c>
      <c r="D210" s="8" t="str">
        <f>"9781847790149"</f>
        <v>9781847790149</v>
      </c>
    </row>
    <row r="211" spans="1:4" x14ac:dyDescent="0.25">
      <c r="A211" s="7" t="s">
        <v>14736</v>
      </c>
      <c r="B211" s="8" t="s">
        <v>14737</v>
      </c>
      <c r="C211" s="8" t="s">
        <v>4882</v>
      </c>
      <c r="D211" s="8" t="str">
        <f>"9781802079012"</f>
        <v>9781802079012</v>
      </c>
    </row>
    <row r="212" spans="1:4" ht="30" x14ac:dyDescent="0.25">
      <c r="A212" s="7" t="s">
        <v>16088</v>
      </c>
      <c r="B212" s="8" t="s">
        <v>16089</v>
      </c>
      <c r="C212" s="8" t="s">
        <v>1865</v>
      </c>
      <c r="D212" s="8" t="str">
        <f>"9789175198590"</f>
        <v>9789175198590</v>
      </c>
    </row>
    <row r="213" spans="1:4" x14ac:dyDescent="0.25">
      <c r="A213" s="7" t="s">
        <v>7796</v>
      </c>
      <c r="B213" s="8" t="s">
        <v>7797</v>
      </c>
      <c r="C213" s="8" t="s">
        <v>1865</v>
      </c>
      <c r="D213" s="8" t="str">
        <f>"9789179290030"</f>
        <v>9789179290030</v>
      </c>
    </row>
    <row r="214" spans="1:4" ht="30" x14ac:dyDescent="0.25">
      <c r="A214" s="7" t="s">
        <v>2098</v>
      </c>
      <c r="B214" s="8" t="s">
        <v>2099</v>
      </c>
      <c r="C214" s="8" t="s">
        <v>1345</v>
      </c>
      <c r="D214" s="8" t="str">
        <f>"9783862199372"</f>
        <v>9783862199372</v>
      </c>
    </row>
    <row r="215" spans="1:4" ht="30" x14ac:dyDescent="0.25">
      <c r="A215" s="7" t="s">
        <v>3543</v>
      </c>
      <c r="B215" s="8" t="s">
        <v>3544</v>
      </c>
      <c r="C215" s="8" t="s">
        <v>1345</v>
      </c>
      <c r="D215" s="8" t="str">
        <f>"9783737604178"</f>
        <v>9783737604178</v>
      </c>
    </row>
    <row r="216" spans="1:4" ht="30" x14ac:dyDescent="0.25">
      <c r="A216" s="7" t="s">
        <v>12017</v>
      </c>
      <c r="B216" s="8" t="s">
        <v>175</v>
      </c>
      <c r="C216" s="8" t="s">
        <v>355</v>
      </c>
      <c r="D216" s="8" t="str">
        <f>"9783110760200"</f>
        <v>9783110760200</v>
      </c>
    </row>
    <row r="217" spans="1:4" ht="30" x14ac:dyDescent="0.25">
      <c r="A217" s="7" t="s">
        <v>15039</v>
      </c>
      <c r="B217" s="8" t="s">
        <v>15040</v>
      </c>
      <c r="C217" s="8" t="s">
        <v>1865</v>
      </c>
      <c r="D217" s="8" t="str">
        <f>"9789175194707"</f>
        <v>9789175194707</v>
      </c>
    </row>
    <row r="218" spans="1:4" ht="30" x14ac:dyDescent="0.25">
      <c r="A218" s="7" t="s">
        <v>3437</v>
      </c>
      <c r="B218" s="8" t="s">
        <v>3438</v>
      </c>
      <c r="C218" s="8" t="s">
        <v>1345</v>
      </c>
      <c r="D218" s="8" t="str">
        <f>"9783737603799"</f>
        <v>9783737603799</v>
      </c>
    </row>
    <row r="219" spans="1:4" ht="30" x14ac:dyDescent="0.25">
      <c r="A219" s="7" t="s">
        <v>2213</v>
      </c>
      <c r="B219" s="8" t="s">
        <v>2214</v>
      </c>
      <c r="C219" s="8" t="s">
        <v>355</v>
      </c>
      <c r="D219" s="8" t="str">
        <f>"9783486832969"</f>
        <v>9783486832969</v>
      </c>
    </row>
    <row r="220" spans="1:4" ht="30" x14ac:dyDescent="0.25">
      <c r="A220" s="7" t="s">
        <v>1543</v>
      </c>
      <c r="B220" s="8" t="s">
        <v>1544</v>
      </c>
      <c r="C220" s="8" t="s">
        <v>1345</v>
      </c>
      <c r="D220" s="8" t="str">
        <f>"9783862192717"</f>
        <v>9783862192717</v>
      </c>
    </row>
    <row r="221" spans="1:4" x14ac:dyDescent="0.25">
      <c r="A221" s="7" t="s">
        <v>7123</v>
      </c>
      <c r="B221" s="8" t="s">
        <v>7124</v>
      </c>
      <c r="C221" s="8" t="s">
        <v>355</v>
      </c>
      <c r="D221" s="8" t="str">
        <f>"9783110599978"</f>
        <v>9783110599978</v>
      </c>
    </row>
    <row r="222" spans="1:4" x14ac:dyDescent="0.25">
      <c r="A222" s="7" t="s">
        <v>8043</v>
      </c>
      <c r="B222" s="8" t="s">
        <v>8044</v>
      </c>
      <c r="C222" s="8" t="s">
        <v>2273</v>
      </c>
      <c r="D222" s="8" t="str">
        <f>"9783030757977"</f>
        <v>9783030757977</v>
      </c>
    </row>
    <row r="223" spans="1:4" ht="30" x14ac:dyDescent="0.25">
      <c r="A223" s="7" t="s">
        <v>7349</v>
      </c>
      <c r="B223" s="8" t="s">
        <v>7350</v>
      </c>
      <c r="C223" s="8" t="s">
        <v>5086</v>
      </c>
      <c r="D223" s="8" t="str">
        <f>"9783658344368"</f>
        <v>9783658344368</v>
      </c>
    </row>
    <row r="224" spans="1:4" x14ac:dyDescent="0.25">
      <c r="A224" s="7" t="s">
        <v>11509</v>
      </c>
      <c r="B224" s="8" t="s">
        <v>11510</v>
      </c>
      <c r="C224" s="8" t="s">
        <v>355</v>
      </c>
      <c r="D224" s="8" t="str">
        <f>"9783110688917"</f>
        <v>9783110688917</v>
      </c>
    </row>
    <row r="225" spans="1:4" ht="30" x14ac:dyDescent="0.25">
      <c r="A225" s="7" t="s">
        <v>4595</v>
      </c>
      <c r="B225" s="8" t="s">
        <v>4596</v>
      </c>
      <c r="C225" s="8" t="s">
        <v>1345</v>
      </c>
      <c r="D225" s="8" t="str">
        <f>"9783737607070"</f>
        <v>9783737607070</v>
      </c>
    </row>
    <row r="226" spans="1:4" x14ac:dyDescent="0.25">
      <c r="A226" s="7" t="s">
        <v>8943</v>
      </c>
      <c r="B226" s="8" t="s">
        <v>8944</v>
      </c>
      <c r="C226" s="8" t="s">
        <v>4245</v>
      </c>
      <c r="D226" s="8" t="str">
        <f>"9789811649110"</f>
        <v>9789811649110</v>
      </c>
    </row>
    <row r="227" spans="1:4" x14ac:dyDescent="0.25">
      <c r="A227" s="7" t="s">
        <v>9253</v>
      </c>
      <c r="B227" s="8" t="s">
        <v>9254</v>
      </c>
      <c r="C227" s="8" t="s">
        <v>2273</v>
      </c>
      <c r="D227" s="8" t="str">
        <f>"9783030832551"</f>
        <v>9783030832551</v>
      </c>
    </row>
    <row r="228" spans="1:4" x14ac:dyDescent="0.25">
      <c r="A228" s="7" t="s">
        <v>12312</v>
      </c>
      <c r="B228" s="8" t="s">
        <v>12313</v>
      </c>
      <c r="C228" s="8" t="s">
        <v>993</v>
      </c>
      <c r="D228" s="8" t="str">
        <f>"9783839460894"</f>
        <v>9783839460894</v>
      </c>
    </row>
    <row r="229" spans="1:4" ht="30" x14ac:dyDescent="0.25">
      <c r="A229" s="7" t="s">
        <v>14464</v>
      </c>
      <c r="B229" s="8" t="s">
        <v>14465</v>
      </c>
      <c r="C229" s="8" t="s">
        <v>1865</v>
      </c>
      <c r="D229" s="8" t="str">
        <f>"9789179297572"</f>
        <v>9789179297572</v>
      </c>
    </row>
    <row r="230" spans="1:4" x14ac:dyDescent="0.25">
      <c r="A230" s="7" t="s">
        <v>6614</v>
      </c>
      <c r="B230" s="8" t="s">
        <v>6615</v>
      </c>
      <c r="C230" s="8" t="s">
        <v>5086</v>
      </c>
      <c r="D230" s="8" t="str">
        <f>"9783658314569"</f>
        <v>9783658314569</v>
      </c>
    </row>
    <row r="231" spans="1:4" x14ac:dyDescent="0.25">
      <c r="A231" s="7" t="s">
        <v>15326</v>
      </c>
      <c r="B231" s="8" t="s">
        <v>15008</v>
      </c>
      <c r="C231" s="8" t="s">
        <v>1865</v>
      </c>
      <c r="D231" s="8" t="str">
        <f>"9789176857977"</f>
        <v>9789176857977</v>
      </c>
    </row>
    <row r="232" spans="1:4" x14ac:dyDescent="0.25">
      <c r="A232" s="7" t="s">
        <v>6628</v>
      </c>
      <c r="B232" s="8" t="s">
        <v>6629</v>
      </c>
      <c r="C232" s="8" t="s">
        <v>4245</v>
      </c>
      <c r="D232" s="8" t="str">
        <f>"9789811603440"</f>
        <v>9789811603440</v>
      </c>
    </row>
    <row r="233" spans="1:4" ht="30" x14ac:dyDescent="0.25">
      <c r="A233" s="7" t="s">
        <v>8611</v>
      </c>
      <c r="B233" s="8" t="s">
        <v>8612</v>
      </c>
      <c r="C233" s="8" t="s">
        <v>2273</v>
      </c>
      <c r="D233" s="8" t="str">
        <f>"9783030831141"</f>
        <v>9783030831141</v>
      </c>
    </row>
    <row r="234" spans="1:4" x14ac:dyDescent="0.25">
      <c r="A234" s="7" t="s">
        <v>5772</v>
      </c>
      <c r="B234" s="8" t="s">
        <v>5773</v>
      </c>
      <c r="C234" s="8" t="s">
        <v>2273</v>
      </c>
      <c r="D234" s="8" t="str">
        <f>"9783319739908"</f>
        <v>9783319739908</v>
      </c>
    </row>
    <row r="235" spans="1:4" ht="30" x14ac:dyDescent="0.25">
      <c r="A235" s="7" t="s">
        <v>6669</v>
      </c>
      <c r="B235" s="8" t="s">
        <v>6670</v>
      </c>
      <c r="C235" s="8" t="s">
        <v>5086</v>
      </c>
      <c r="D235" s="8" t="str">
        <f>"9783658332464"</f>
        <v>9783658332464</v>
      </c>
    </row>
    <row r="236" spans="1:4" x14ac:dyDescent="0.25">
      <c r="A236" s="7" t="s">
        <v>4516</v>
      </c>
      <c r="B236" s="8" t="s">
        <v>4517</v>
      </c>
      <c r="C236" s="8" t="s">
        <v>1865</v>
      </c>
      <c r="D236" s="8" t="str">
        <f>"9789176850596"</f>
        <v>9789176850596</v>
      </c>
    </row>
    <row r="237" spans="1:4" x14ac:dyDescent="0.25">
      <c r="A237" s="7" t="s">
        <v>12408</v>
      </c>
      <c r="B237" s="8" t="s">
        <v>12409</v>
      </c>
      <c r="C237" s="8" t="s">
        <v>355</v>
      </c>
      <c r="D237" s="8" t="str">
        <f>"9783110746419"</f>
        <v>9783110746419</v>
      </c>
    </row>
    <row r="238" spans="1:4" ht="30" x14ac:dyDescent="0.25">
      <c r="A238" s="7" t="s">
        <v>12540</v>
      </c>
      <c r="B238" s="8" t="s">
        <v>12541</v>
      </c>
      <c r="C238" s="8" t="s">
        <v>2273</v>
      </c>
      <c r="D238" s="8" t="str">
        <f>"9783030991777"</f>
        <v>9783030991777</v>
      </c>
    </row>
    <row r="239" spans="1:4" ht="30" x14ac:dyDescent="0.25">
      <c r="A239" s="7" t="s">
        <v>1401</v>
      </c>
      <c r="B239" s="8" t="s">
        <v>1402</v>
      </c>
      <c r="C239" s="8" t="s">
        <v>1345</v>
      </c>
      <c r="D239" s="8" t="str">
        <f>"9783899588798"</f>
        <v>9783899588798</v>
      </c>
    </row>
    <row r="240" spans="1:4" ht="30" x14ac:dyDescent="0.25">
      <c r="A240" s="7" t="s">
        <v>8243</v>
      </c>
      <c r="B240" s="8" t="s">
        <v>8244</v>
      </c>
      <c r="C240" s="8" t="s">
        <v>993</v>
      </c>
      <c r="D240" s="8" t="str">
        <f>"9783839452301"</f>
        <v>9783839452301</v>
      </c>
    </row>
    <row r="241" spans="1:4" x14ac:dyDescent="0.25">
      <c r="A241" s="7" t="s">
        <v>8279</v>
      </c>
      <c r="B241" s="8" t="s">
        <v>8280</v>
      </c>
      <c r="C241" s="8" t="s">
        <v>993</v>
      </c>
      <c r="D241" s="8" t="str">
        <f>"9783839456385"</f>
        <v>9783839456385</v>
      </c>
    </row>
    <row r="242" spans="1:4" x14ac:dyDescent="0.25">
      <c r="A242" s="7" t="s">
        <v>6453</v>
      </c>
      <c r="B242" s="8" t="s">
        <v>6454</v>
      </c>
      <c r="C242" s="8" t="s">
        <v>1879</v>
      </c>
      <c r="D242" s="8" t="str">
        <f>"9781800640375"</f>
        <v>9781800640375</v>
      </c>
    </row>
    <row r="243" spans="1:4" x14ac:dyDescent="0.25">
      <c r="A243" s="7" t="s">
        <v>4744</v>
      </c>
      <c r="B243" s="8" t="s">
        <v>4745</v>
      </c>
      <c r="C243" s="8" t="s">
        <v>1865</v>
      </c>
      <c r="D243" s="8" t="str">
        <f>"9789179299880"</f>
        <v>9789179299880</v>
      </c>
    </row>
    <row r="244" spans="1:4" ht="30" x14ac:dyDescent="0.25">
      <c r="A244" s="7" t="s">
        <v>8665</v>
      </c>
      <c r="B244" s="8" t="s">
        <v>8666</v>
      </c>
      <c r="C244" s="8" t="s">
        <v>1865</v>
      </c>
      <c r="D244" s="8" t="str">
        <f>"9789179290672"</f>
        <v>9789179290672</v>
      </c>
    </row>
    <row r="245" spans="1:4" ht="30" x14ac:dyDescent="0.25">
      <c r="A245" s="7" t="s">
        <v>9601</v>
      </c>
      <c r="B245" s="8" t="s">
        <v>9603</v>
      </c>
      <c r="C245" s="8" t="s">
        <v>9602</v>
      </c>
      <c r="D245" s="8" t="str">
        <f>"9781800101487"</f>
        <v>9781800101487</v>
      </c>
    </row>
    <row r="246" spans="1:4" x14ac:dyDescent="0.25">
      <c r="A246" s="7" t="s">
        <v>527</v>
      </c>
      <c r="B246" s="8" t="s">
        <v>528</v>
      </c>
      <c r="C246" s="8" t="s">
        <v>227</v>
      </c>
      <c r="D246" s="8" t="str">
        <f>"9781847791276"</f>
        <v>9781847791276</v>
      </c>
    </row>
    <row r="247" spans="1:4" x14ac:dyDescent="0.25">
      <c r="A247" s="7" t="s">
        <v>2228</v>
      </c>
      <c r="B247" s="8" t="s">
        <v>2229</v>
      </c>
      <c r="C247" s="8" t="s">
        <v>355</v>
      </c>
      <c r="D247" s="8" t="str">
        <f>"9783486989342"</f>
        <v>9783486989342</v>
      </c>
    </row>
    <row r="248" spans="1:4" x14ac:dyDescent="0.25">
      <c r="A248" s="7" t="s">
        <v>12185</v>
      </c>
      <c r="B248" s="8" t="s">
        <v>12186</v>
      </c>
      <c r="C248" s="8" t="s">
        <v>355</v>
      </c>
      <c r="D248" s="8" t="str">
        <f>"9783110663792"</f>
        <v>9783110663792</v>
      </c>
    </row>
    <row r="249" spans="1:4" ht="30" x14ac:dyDescent="0.25">
      <c r="A249" s="7" t="s">
        <v>1713</v>
      </c>
      <c r="B249" s="8" t="s">
        <v>1714</v>
      </c>
      <c r="C249" s="8" t="s">
        <v>1345</v>
      </c>
      <c r="D249" s="8" t="str">
        <f>"9783862192311"</f>
        <v>9783862192311</v>
      </c>
    </row>
    <row r="250" spans="1:4" ht="30" x14ac:dyDescent="0.25">
      <c r="A250" s="7" t="s">
        <v>541</v>
      </c>
      <c r="B250" s="8" t="s">
        <v>542</v>
      </c>
      <c r="C250" s="8" t="s">
        <v>316</v>
      </c>
      <c r="D250" s="8" t="str">
        <f>"9783110295467"</f>
        <v>9783110295467</v>
      </c>
    </row>
    <row r="251" spans="1:4" ht="30" x14ac:dyDescent="0.25">
      <c r="A251" s="7" t="s">
        <v>8564</v>
      </c>
      <c r="B251" s="8" t="s">
        <v>8565</v>
      </c>
      <c r="C251" s="8" t="s">
        <v>5086</v>
      </c>
      <c r="D251" s="8" t="str">
        <f>"9783658343354"</f>
        <v>9783658343354</v>
      </c>
    </row>
    <row r="252" spans="1:4" x14ac:dyDescent="0.25">
      <c r="A252" s="7" t="s">
        <v>3348</v>
      </c>
      <c r="B252" s="8" t="s">
        <v>3349</v>
      </c>
      <c r="C252" s="8" t="s">
        <v>993</v>
      </c>
      <c r="D252" s="8" t="str">
        <f>"9783839438343"</f>
        <v>9783839438343</v>
      </c>
    </row>
    <row r="253" spans="1:4" x14ac:dyDescent="0.25">
      <c r="A253" s="7" t="s">
        <v>4257</v>
      </c>
      <c r="B253" s="8" t="s">
        <v>4258</v>
      </c>
      <c r="C253" s="8" t="s">
        <v>1865</v>
      </c>
      <c r="D253" s="8" t="str">
        <f>"9789176851654"</f>
        <v>9789176851654</v>
      </c>
    </row>
    <row r="254" spans="1:4" x14ac:dyDescent="0.25">
      <c r="A254" s="7" t="s">
        <v>15333</v>
      </c>
      <c r="B254" s="8" t="s">
        <v>15334</v>
      </c>
      <c r="C254" s="8" t="s">
        <v>1865</v>
      </c>
      <c r="D254" s="8" t="str">
        <f>"9789175199665"</f>
        <v>9789175199665</v>
      </c>
    </row>
    <row r="255" spans="1:4" x14ac:dyDescent="0.25">
      <c r="A255" s="7" t="s">
        <v>4624</v>
      </c>
      <c r="B255" s="8" t="s">
        <v>4625</v>
      </c>
      <c r="C255" s="8" t="s">
        <v>329</v>
      </c>
      <c r="D255" s="8" t="str">
        <f>"9789048534012"</f>
        <v>9789048534012</v>
      </c>
    </row>
    <row r="256" spans="1:4" x14ac:dyDescent="0.25">
      <c r="A256" s="7" t="s">
        <v>4974</v>
      </c>
      <c r="B256" s="8" t="s">
        <v>4975</v>
      </c>
      <c r="C256" s="8" t="s">
        <v>1865</v>
      </c>
      <c r="D256" s="8" t="str">
        <f>"9789179298579"</f>
        <v>9789179298579</v>
      </c>
    </row>
    <row r="257" spans="1:4" x14ac:dyDescent="0.25">
      <c r="A257" s="7" t="s">
        <v>1797</v>
      </c>
      <c r="B257" s="8" t="s">
        <v>1798</v>
      </c>
      <c r="C257" s="8" t="s">
        <v>1345</v>
      </c>
      <c r="D257" s="8" t="str">
        <f>"9783862197378"</f>
        <v>9783862197378</v>
      </c>
    </row>
    <row r="258" spans="1:4" ht="30" x14ac:dyDescent="0.25">
      <c r="A258" s="7" t="s">
        <v>9521</v>
      </c>
      <c r="B258" s="8" t="s">
        <v>9522</v>
      </c>
      <c r="C258" s="8" t="s">
        <v>2273</v>
      </c>
      <c r="D258" s="8" t="str">
        <f>"9783030925772"</f>
        <v>9783030925772</v>
      </c>
    </row>
    <row r="259" spans="1:4" x14ac:dyDescent="0.25">
      <c r="A259" s="7" t="s">
        <v>16310</v>
      </c>
      <c r="B259" s="8" t="s">
        <v>15302</v>
      </c>
      <c r="C259" s="8" t="s">
        <v>1865</v>
      </c>
      <c r="D259" s="8" t="str">
        <f>"9789176858158"</f>
        <v>9789176858158</v>
      </c>
    </row>
    <row r="260" spans="1:4" x14ac:dyDescent="0.25">
      <c r="A260" s="7" t="s">
        <v>16383</v>
      </c>
      <c r="B260" s="8" t="s">
        <v>3244</v>
      </c>
      <c r="C260" s="8" t="s">
        <v>1865</v>
      </c>
      <c r="D260" s="8" t="str">
        <f>"9789176859889"</f>
        <v>9789176859889</v>
      </c>
    </row>
    <row r="261" spans="1:4" x14ac:dyDescent="0.25">
      <c r="A261" s="7" t="s">
        <v>15427</v>
      </c>
      <c r="B261" s="8" t="s">
        <v>4722</v>
      </c>
      <c r="C261" s="8" t="s">
        <v>1865</v>
      </c>
      <c r="D261" s="8" t="str">
        <f>"9789176853832"</f>
        <v>9789176853832</v>
      </c>
    </row>
    <row r="262" spans="1:4" x14ac:dyDescent="0.25">
      <c r="A262" s="7" t="s">
        <v>11635</v>
      </c>
      <c r="B262" s="8" t="s">
        <v>3430</v>
      </c>
      <c r="C262" s="8" t="s">
        <v>355</v>
      </c>
      <c r="D262" s="8" t="str">
        <f>"9783110701234"</f>
        <v>9783110701234</v>
      </c>
    </row>
    <row r="263" spans="1:4" x14ac:dyDescent="0.25">
      <c r="A263" s="7" t="s">
        <v>15094</v>
      </c>
      <c r="B263" s="8" t="s">
        <v>15095</v>
      </c>
      <c r="C263" s="8" t="s">
        <v>1865</v>
      </c>
      <c r="D263" s="8" t="str">
        <f>"9789176857779"</f>
        <v>9789176857779</v>
      </c>
    </row>
    <row r="264" spans="1:4" x14ac:dyDescent="0.25">
      <c r="A264" s="7" t="s">
        <v>8093</v>
      </c>
      <c r="B264" s="8" t="s">
        <v>8094</v>
      </c>
      <c r="C264" s="8" t="s">
        <v>2273</v>
      </c>
      <c r="D264" s="8" t="str">
        <f>"9783030797393"</f>
        <v>9783030797393</v>
      </c>
    </row>
    <row r="265" spans="1:4" ht="30" x14ac:dyDescent="0.25">
      <c r="A265" s="7" t="s">
        <v>7273</v>
      </c>
      <c r="B265" s="8" t="s">
        <v>7274</v>
      </c>
      <c r="C265" s="8" t="s">
        <v>2273</v>
      </c>
      <c r="D265" s="8" t="str">
        <f>"9783319928104"</f>
        <v>9783319928104</v>
      </c>
    </row>
    <row r="266" spans="1:4" x14ac:dyDescent="0.25">
      <c r="A266" s="7" t="s">
        <v>3429</v>
      </c>
      <c r="B266" s="8" t="s">
        <v>3430</v>
      </c>
      <c r="C266" s="8" t="s">
        <v>1036</v>
      </c>
      <c r="D266" s="8" t="str">
        <f>"9789027264879"</f>
        <v>9789027264879</v>
      </c>
    </row>
    <row r="267" spans="1:4" x14ac:dyDescent="0.25">
      <c r="A267" s="7" t="s">
        <v>3175</v>
      </c>
      <c r="B267" s="8" t="s">
        <v>3176</v>
      </c>
      <c r="C267" s="8" t="s">
        <v>1865</v>
      </c>
      <c r="D267" s="8" t="str">
        <f>"9789176855409"</f>
        <v>9789176855409</v>
      </c>
    </row>
    <row r="268" spans="1:4" x14ac:dyDescent="0.25">
      <c r="A268" s="7" t="s">
        <v>4179</v>
      </c>
      <c r="B268" s="8" t="s">
        <v>4180</v>
      </c>
      <c r="C268" s="8" t="s">
        <v>1865</v>
      </c>
      <c r="D268" s="8" t="str">
        <f>"9789176852361"</f>
        <v>9789176852361</v>
      </c>
    </row>
    <row r="269" spans="1:4" x14ac:dyDescent="0.25">
      <c r="A269" s="7" t="s">
        <v>4249</v>
      </c>
      <c r="B269" s="8" t="s">
        <v>4250</v>
      </c>
      <c r="C269" s="8" t="s">
        <v>1865</v>
      </c>
      <c r="D269" s="8" t="str">
        <f>"9789176852040"</f>
        <v>9789176852040</v>
      </c>
    </row>
    <row r="270" spans="1:4" ht="30" x14ac:dyDescent="0.25">
      <c r="A270" s="7" t="s">
        <v>12310</v>
      </c>
      <c r="B270" s="8" t="s">
        <v>12311</v>
      </c>
      <c r="C270" s="8" t="s">
        <v>993</v>
      </c>
      <c r="D270" s="8" t="str">
        <f>"9783839460887"</f>
        <v>9783839460887</v>
      </c>
    </row>
    <row r="271" spans="1:4" x14ac:dyDescent="0.25">
      <c r="A271" s="7" t="s">
        <v>3450</v>
      </c>
      <c r="B271" s="8" t="s">
        <v>3451</v>
      </c>
      <c r="C271" s="8" t="s">
        <v>1865</v>
      </c>
      <c r="D271" s="8" t="str">
        <f>"9789176853894"</f>
        <v>9789176853894</v>
      </c>
    </row>
    <row r="272" spans="1:4" ht="30" x14ac:dyDescent="0.25">
      <c r="A272" s="7" t="s">
        <v>1392</v>
      </c>
      <c r="B272" s="8" t="s">
        <v>1393</v>
      </c>
      <c r="C272" s="8" t="s">
        <v>1345</v>
      </c>
      <c r="D272" s="8" t="str">
        <f>"9783899588491"</f>
        <v>9783899588491</v>
      </c>
    </row>
    <row r="273" spans="1:4" x14ac:dyDescent="0.25">
      <c r="A273" s="7" t="s">
        <v>6339</v>
      </c>
      <c r="B273" s="8" t="s">
        <v>6340</v>
      </c>
      <c r="C273" s="8" t="s">
        <v>1865</v>
      </c>
      <c r="D273" s="8" t="str">
        <f>"9789179297367"</f>
        <v>9789179297367</v>
      </c>
    </row>
    <row r="274" spans="1:4" ht="30" x14ac:dyDescent="0.25">
      <c r="A274" s="7" t="s">
        <v>14438</v>
      </c>
      <c r="B274" s="8" t="s">
        <v>14439</v>
      </c>
      <c r="C274" s="8" t="s">
        <v>1865</v>
      </c>
      <c r="D274" s="8" t="str">
        <f>"9789179293390"</f>
        <v>9789179293390</v>
      </c>
    </row>
    <row r="275" spans="1:4" x14ac:dyDescent="0.25">
      <c r="A275" s="7" t="s">
        <v>14721</v>
      </c>
      <c r="B275" s="8" t="s">
        <v>14722</v>
      </c>
      <c r="C275" s="8" t="s">
        <v>1865</v>
      </c>
      <c r="D275" s="8" t="str">
        <f>"9789173937313"</f>
        <v>9789173937313</v>
      </c>
    </row>
    <row r="276" spans="1:4" x14ac:dyDescent="0.25">
      <c r="A276" s="7" t="s">
        <v>4762</v>
      </c>
      <c r="B276" s="8" t="s">
        <v>4763</v>
      </c>
      <c r="C276" s="8" t="s">
        <v>1865</v>
      </c>
      <c r="D276" s="8" t="str">
        <f>"9789175190037"</f>
        <v>9789175190037</v>
      </c>
    </row>
    <row r="277" spans="1:4" x14ac:dyDescent="0.25">
      <c r="A277" s="7" t="s">
        <v>3900</v>
      </c>
      <c r="B277" s="8" t="s">
        <v>3901</v>
      </c>
      <c r="C277" s="8" t="s">
        <v>355</v>
      </c>
      <c r="D277" s="8" t="str">
        <f>"9783110574432"</f>
        <v>9783110574432</v>
      </c>
    </row>
    <row r="278" spans="1:4" ht="30" x14ac:dyDescent="0.25">
      <c r="A278" s="7" t="s">
        <v>13534</v>
      </c>
      <c r="B278" s="8" t="s">
        <v>13535</v>
      </c>
      <c r="C278" s="8" t="s">
        <v>2273</v>
      </c>
      <c r="D278" s="8" t="str">
        <f>"9783031110894"</f>
        <v>9783031110894</v>
      </c>
    </row>
    <row r="279" spans="1:4" x14ac:dyDescent="0.25">
      <c r="A279" s="7" t="s">
        <v>3087</v>
      </c>
      <c r="B279" s="8" t="s">
        <v>3088</v>
      </c>
      <c r="C279" s="8" t="s">
        <v>1865</v>
      </c>
      <c r="D279" s="8" t="str">
        <f>"9789176855782"</f>
        <v>9789176855782</v>
      </c>
    </row>
    <row r="280" spans="1:4" x14ac:dyDescent="0.25">
      <c r="A280" s="7" t="s">
        <v>2385</v>
      </c>
      <c r="B280" s="8" t="s">
        <v>2386</v>
      </c>
      <c r="C280" s="8" t="s">
        <v>1879</v>
      </c>
      <c r="D280" s="8" t="str">
        <f>"9781783741441"</f>
        <v>9781783741441</v>
      </c>
    </row>
    <row r="281" spans="1:4" x14ac:dyDescent="0.25">
      <c r="A281" s="7" t="s">
        <v>2385</v>
      </c>
      <c r="B281" s="8" t="s">
        <v>2386</v>
      </c>
      <c r="C281" s="8" t="s">
        <v>1879</v>
      </c>
      <c r="D281" s="8" t="str">
        <f>"9781783747771"</f>
        <v>9781783747771</v>
      </c>
    </row>
    <row r="282" spans="1:4" x14ac:dyDescent="0.25">
      <c r="A282" s="7" t="s">
        <v>14404</v>
      </c>
      <c r="B282" s="8" t="s">
        <v>14405</v>
      </c>
      <c r="C282" s="8" t="s">
        <v>1865</v>
      </c>
      <c r="D282" s="8" t="str">
        <f>"9789179294793"</f>
        <v>9789179294793</v>
      </c>
    </row>
    <row r="283" spans="1:4" x14ac:dyDescent="0.25">
      <c r="A283" s="7" t="s">
        <v>4930</v>
      </c>
      <c r="B283" s="8" t="s">
        <v>4931</v>
      </c>
      <c r="C283" s="8" t="s">
        <v>1865</v>
      </c>
      <c r="D283" s="8" t="str">
        <f>"9789179298814"</f>
        <v>9789179298814</v>
      </c>
    </row>
    <row r="284" spans="1:4" x14ac:dyDescent="0.25">
      <c r="A284" s="7" t="s">
        <v>6979</v>
      </c>
      <c r="B284" s="8" t="s">
        <v>6980</v>
      </c>
      <c r="C284" s="8" t="s">
        <v>2273</v>
      </c>
      <c r="D284" s="8" t="str">
        <f>"9783030688134"</f>
        <v>9783030688134</v>
      </c>
    </row>
    <row r="285" spans="1:4" x14ac:dyDescent="0.25">
      <c r="A285" s="7" t="s">
        <v>6100</v>
      </c>
      <c r="B285" s="8" t="s">
        <v>6101</v>
      </c>
      <c r="C285" s="8" t="s">
        <v>5134</v>
      </c>
      <c r="D285" s="8" t="str">
        <f>"9783662504475"</f>
        <v>9783662504475</v>
      </c>
    </row>
    <row r="286" spans="1:4" x14ac:dyDescent="0.25">
      <c r="A286" s="7" t="s">
        <v>14257</v>
      </c>
      <c r="B286" s="8" t="s">
        <v>14258</v>
      </c>
      <c r="C286" s="8" t="s">
        <v>2274</v>
      </c>
      <c r="D286" s="8" t="str">
        <f>"9789811986574"</f>
        <v>9789811986574</v>
      </c>
    </row>
    <row r="287" spans="1:4" x14ac:dyDescent="0.25">
      <c r="A287" s="7" t="s">
        <v>5656</v>
      </c>
      <c r="B287" s="8" t="s">
        <v>5657</v>
      </c>
      <c r="C287" s="8" t="s">
        <v>2273</v>
      </c>
      <c r="D287" s="8" t="str">
        <f>"9783319123042"</f>
        <v>9783319123042</v>
      </c>
    </row>
    <row r="288" spans="1:4" ht="30" x14ac:dyDescent="0.25">
      <c r="A288" s="7" t="s">
        <v>6991</v>
      </c>
      <c r="B288" s="8" t="s">
        <v>6992</v>
      </c>
      <c r="C288" s="8" t="s">
        <v>355</v>
      </c>
      <c r="D288" s="8" t="str">
        <f>"9783110647495"</f>
        <v>9783110647495</v>
      </c>
    </row>
    <row r="289" spans="1:4" ht="30" x14ac:dyDescent="0.25">
      <c r="A289" s="7" t="s">
        <v>5734</v>
      </c>
      <c r="B289" s="8" t="s">
        <v>5735</v>
      </c>
      <c r="C289" s="8" t="s">
        <v>5107</v>
      </c>
      <c r="D289" s="8" t="str">
        <f>"9784431556756"</f>
        <v>9784431556756</v>
      </c>
    </row>
    <row r="290" spans="1:4" ht="45" x14ac:dyDescent="0.25">
      <c r="A290" s="7" t="s">
        <v>6805</v>
      </c>
      <c r="B290" s="8" t="s">
        <v>6806</v>
      </c>
      <c r="C290" s="8" t="s">
        <v>2273</v>
      </c>
      <c r="D290" s="8" t="str">
        <f>"9783030705664"</f>
        <v>9783030705664</v>
      </c>
    </row>
    <row r="291" spans="1:4" ht="30" x14ac:dyDescent="0.25">
      <c r="A291" s="7" t="s">
        <v>6247</v>
      </c>
      <c r="B291" s="8" t="s">
        <v>210</v>
      </c>
      <c r="C291" s="8" t="s">
        <v>2273</v>
      </c>
      <c r="D291" s="8" t="str">
        <f>"9783319594699"</f>
        <v>9783319594699</v>
      </c>
    </row>
    <row r="292" spans="1:4" x14ac:dyDescent="0.25">
      <c r="A292" s="7" t="s">
        <v>6047</v>
      </c>
      <c r="B292" s="8" t="s">
        <v>6048</v>
      </c>
      <c r="C292" s="8" t="s">
        <v>2273</v>
      </c>
      <c r="D292" s="8" t="str">
        <f>"9783319990972"</f>
        <v>9783319990972</v>
      </c>
    </row>
    <row r="293" spans="1:4" ht="30" x14ac:dyDescent="0.25">
      <c r="A293" s="7" t="s">
        <v>16284</v>
      </c>
      <c r="B293" s="8" t="s">
        <v>16285</v>
      </c>
      <c r="C293" s="8" t="s">
        <v>1865</v>
      </c>
      <c r="D293" s="8" t="str">
        <f>"9789176859353"</f>
        <v>9789176859353</v>
      </c>
    </row>
    <row r="294" spans="1:4" ht="30" x14ac:dyDescent="0.25">
      <c r="A294" s="7" t="s">
        <v>5956</v>
      </c>
      <c r="B294" s="8" t="s">
        <v>5957</v>
      </c>
      <c r="C294" s="8" t="s">
        <v>2273</v>
      </c>
      <c r="D294" s="8" t="str">
        <f>"9783319586892"</f>
        <v>9783319586892</v>
      </c>
    </row>
    <row r="295" spans="1:4" x14ac:dyDescent="0.25">
      <c r="A295" s="7" t="s">
        <v>4077</v>
      </c>
      <c r="B295" s="8" t="s">
        <v>1291</v>
      </c>
      <c r="C295" s="8" t="s">
        <v>1224</v>
      </c>
      <c r="D295" s="8" t="str">
        <f>"9781618117540"</f>
        <v>9781618117540</v>
      </c>
    </row>
    <row r="296" spans="1:4" x14ac:dyDescent="0.25">
      <c r="A296" s="7" t="s">
        <v>13590</v>
      </c>
      <c r="B296" s="8" t="s">
        <v>5318</v>
      </c>
      <c r="C296" s="8" t="s">
        <v>2273</v>
      </c>
      <c r="D296" s="8" t="str">
        <f>"9783031144363"</f>
        <v>9783031144363</v>
      </c>
    </row>
    <row r="297" spans="1:4" x14ac:dyDescent="0.25">
      <c r="A297" s="7" t="s">
        <v>8833</v>
      </c>
      <c r="B297" s="8" t="s">
        <v>8834</v>
      </c>
      <c r="C297" s="8" t="s">
        <v>8805</v>
      </c>
      <c r="D297" s="8" t="str">
        <f>"9781934831014"</f>
        <v>9781934831014</v>
      </c>
    </row>
    <row r="298" spans="1:4" x14ac:dyDescent="0.25">
      <c r="A298" s="7" t="s">
        <v>6589</v>
      </c>
      <c r="B298" s="8" t="s">
        <v>6590</v>
      </c>
      <c r="C298" s="8" t="s">
        <v>1865</v>
      </c>
      <c r="D298" s="8" t="str">
        <f>"9789179296810"</f>
        <v>9789179296810</v>
      </c>
    </row>
    <row r="299" spans="1:4" x14ac:dyDescent="0.25">
      <c r="A299" s="7" t="s">
        <v>15372</v>
      </c>
      <c r="B299" s="8" t="s">
        <v>6590</v>
      </c>
      <c r="C299" s="8" t="s">
        <v>1865</v>
      </c>
      <c r="D299" s="8" t="str">
        <f>"9789176857410"</f>
        <v>9789176857410</v>
      </c>
    </row>
    <row r="300" spans="1:4" x14ac:dyDescent="0.25">
      <c r="A300" s="7" t="s">
        <v>232</v>
      </c>
      <c r="B300" s="8" t="s">
        <v>233</v>
      </c>
      <c r="C300" s="8" t="s">
        <v>227</v>
      </c>
      <c r="D300" s="8" t="str">
        <f>"9781847790330"</f>
        <v>9781847790330</v>
      </c>
    </row>
    <row r="301" spans="1:4" x14ac:dyDescent="0.25">
      <c r="A301" s="7" t="s">
        <v>5941</v>
      </c>
      <c r="B301" s="8" t="s">
        <v>5943</v>
      </c>
      <c r="C301" s="8" t="s">
        <v>5942</v>
      </c>
      <c r="D301" s="8" t="str">
        <f>"9783476051042"</f>
        <v>9783476051042</v>
      </c>
    </row>
    <row r="302" spans="1:4" ht="30" x14ac:dyDescent="0.25">
      <c r="A302" s="7" t="s">
        <v>15085</v>
      </c>
      <c r="B302" s="8" t="s">
        <v>15086</v>
      </c>
      <c r="C302" s="8" t="s">
        <v>1865</v>
      </c>
      <c r="D302" s="8" t="str">
        <f>"9789175197920"</f>
        <v>9789175197920</v>
      </c>
    </row>
    <row r="303" spans="1:4" x14ac:dyDescent="0.25">
      <c r="A303" s="7" t="s">
        <v>3468</v>
      </c>
      <c r="B303" s="8" t="s">
        <v>3469</v>
      </c>
      <c r="C303" s="8" t="s">
        <v>2073</v>
      </c>
      <c r="D303" s="8" t="str">
        <f>"9781438467863"</f>
        <v>9781438467863</v>
      </c>
    </row>
    <row r="304" spans="1:4" x14ac:dyDescent="0.25">
      <c r="A304" s="7" t="s">
        <v>4786</v>
      </c>
      <c r="B304" s="8" t="s">
        <v>4787</v>
      </c>
      <c r="C304" s="8" t="s">
        <v>562</v>
      </c>
      <c r="D304" s="8" t="str">
        <f>"9781478007388"</f>
        <v>9781478007388</v>
      </c>
    </row>
    <row r="305" spans="1:4" x14ac:dyDescent="0.25">
      <c r="A305" s="7" t="s">
        <v>4812</v>
      </c>
      <c r="B305" s="8" t="s">
        <v>4813</v>
      </c>
      <c r="C305" s="8" t="s">
        <v>562</v>
      </c>
      <c r="D305" s="8" t="str">
        <f>"9781478007166"</f>
        <v>9781478007166</v>
      </c>
    </row>
    <row r="306" spans="1:4" x14ac:dyDescent="0.25">
      <c r="A306" s="7" t="s">
        <v>10595</v>
      </c>
      <c r="B306" s="8" t="s">
        <v>10596</v>
      </c>
      <c r="C306" s="8" t="s">
        <v>993</v>
      </c>
      <c r="D306" s="8" t="str">
        <f>"9783839461419"</f>
        <v>9783839461419</v>
      </c>
    </row>
    <row r="307" spans="1:4" x14ac:dyDescent="0.25">
      <c r="A307" s="7" t="s">
        <v>10210</v>
      </c>
      <c r="B307" s="8" t="s">
        <v>10211</v>
      </c>
      <c r="C307" s="8" t="s">
        <v>993</v>
      </c>
      <c r="D307" s="8" t="str">
        <f>"9783839444399"</f>
        <v>9783839444399</v>
      </c>
    </row>
    <row r="308" spans="1:4" ht="30" x14ac:dyDescent="0.25">
      <c r="A308" s="7" t="s">
        <v>10399</v>
      </c>
      <c r="B308" s="8" t="s">
        <v>10400</v>
      </c>
      <c r="C308" s="8" t="s">
        <v>993</v>
      </c>
      <c r="D308" s="8" t="str">
        <f>"9783839455081"</f>
        <v>9783839455081</v>
      </c>
    </row>
    <row r="309" spans="1:4" x14ac:dyDescent="0.25">
      <c r="A309" s="7" t="s">
        <v>9785</v>
      </c>
      <c r="B309" s="8" t="s">
        <v>9786</v>
      </c>
      <c r="C309" s="8" t="s">
        <v>993</v>
      </c>
      <c r="D309" s="8" t="str">
        <f>"9783839404591"</f>
        <v>9783839404591</v>
      </c>
    </row>
    <row r="310" spans="1:4" ht="30" x14ac:dyDescent="0.25">
      <c r="A310" s="7" t="s">
        <v>2715</v>
      </c>
      <c r="B310" s="8" t="s">
        <v>2716</v>
      </c>
      <c r="C310" s="8" t="s">
        <v>1345</v>
      </c>
      <c r="D310" s="8" t="str">
        <f>"9783737601399"</f>
        <v>9783737601399</v>
      </c>
    </row>
    <row r="311" spans="1:4" x14ac:dyDescent="0.25">
      <c r="A311" s="7" t="s">
        <v>2993</v>
      </c>
      <c r="B311" s="8" t="s">
        <v>158</v>
      </c>
      <c r="C311" s="8" t="s">
        <v>316</v>
      </c>
      <c r="D311" s="8" t="str">
        <f>"9783110488739"</f>
        <v>9783110488739</v>
      </c>
    </row>
    <row r="312" spans="1:4" ht="30" x14ac:dyDescent="0.25">
      <c r="A312" s="7" t="s">
        <v>5398</v>
      </c>
      <c r="B312" s="8" t="s">
        <v>5399</v>
      </c>
      <c r="C312" s="8" t="s">
        <v>2273</v>
      </c>
      <c r="D312" s="8" t="str">
        <f>"9783030370398"</f>
        <v>9783030370398</v>
      </c>
    </row>
    <row r="313" spans="1:4" ht="30" x14ac:dyDescent="0.25">
      <c r="A313" s="7" t="s">
        <v>6205</v>
      </c>
      <c r="B313" s="8" t="s">
        <v>6206</v>
      </c>
      <c r="C313" s="8" t="s">
        <v>2273</v>
      </c>
      <c r="D313" s="8" t="str">
        <f>"9783319699295"</f>
        <v>9783319699295</v>
      </c>
    </row>
    <row r="314" spans="1:4" x14ac:dyDescent="0.25">
      <c r="A314" s="7" t="s">
        <v>6930</v>
      </c>
      <c r="B314" s="8" t="s">
        <v>99</v>
      </c>
      <c r="C314" s="8" t="s">
        <v>2273</v>
      </c>
      <c r="D314" s="8" t="str">
        <f>"9783030451066"</f>
        <v>9783030451066</v>
      </c>
    </row>
    <row r="315" spans="1:4" x14ac:dyDescent="0.25">
      <c r="A315" s="7" t="s">
        <v>8109</v>
      </c>
      <c r="B315" s="8" t="s">
        <v>8110</v>
      </c>
      <c r="C315" s="8" t="s">
        <v>4245</v>
      </c>
      <c r="D315" s="8" t="str">
        <f>"9789811647253"</f>
        <v>9789811647253</v>
      </c>
    </row>
    <row r="316" spans="1:4" ht="30" x14ac:dyDescent="0.25">
      <c r="A316" s="7" t="s">
        <v>12333</v>
      </c>
      <c r="B316" s="8" t="s">
        <v>12334</v>
      </c>
      <c r="C316" s="8" t="s">
        <v>993</v>
      </c>
      <c r="D316" s="8" t="str">
        <f>"9783839461624"</f>
        <v>9783839461624</v>
      </c>
    </row>
    <row r="317" spans="1:4" x14ac:dyDescent="0.25">
      <c r="A317" s="7" t="s">
        <v>8262</v>
      </c>
      <c r="B317" s="8" t="s">
        <v>8264</v>
      </c>
      <c r="C317" s="8" t="s">
        <v>8263</v>
      </c>
      <c r="D317" s="8" t="str">
        <f>"9780824873998"</f>
        <v>9780824873998</v>
      </c>
    </row>
    <row r="318" spans="1:4" x14ac:dyDescent="0.25">
      <c r="A318" s="7" t="s">
        <v>4133</v>
      </c>
      <c r="B318" s="8" t="s">
        <v>4134</v>
      </c>
      <c r="C318" s="8" t="s">
        <v>562</v>
      </c>
      <c r="D318" s="8" t="str">
        <f>"9781478002284"</f>
        <v>9781478002284</v>
      </c>
    </row>
    <row r="319" spans="1:4" x14ac:dyDescent="0.25">
      <c r="A319" s="7" t="s">
        <v>6914</v>
      </c>
      <c r="B319" s="8" t="s">
        <v>6915</v>
      </c>
      <c r="C319" s="8" t="s">
        <v>1342</v>
      </c>
      <c r="D319" s="8" t="str">
        <f>"9789633863855"</f>
        <v>9789633863855</v>
      </c>
    </row>
    <row r="320" spans="1:4" x14ac:dyDescent="0.25">
      <c r="A320" s="7" t="s">
        <v>408</v>
      </c>
      <c r="B320" s="8" t="s">
        <v>409</v>
      </c>
      <c r="C320" s="8" t="s">
        <v>227</v>
      </c>
      <c r="D320" s="8" t="str">
        <f>"9781847790774"</f>
        <v>9781847790774</v>
      </c>
    </row>
    <row r="321" spans="1:4" x14ac:dyDescent="0.25">
      <c r="A321" s="7" t="s">
        <v>4928</v>
      </c>
      <c r="B321" s="8" t="s">
        <v>4929</v>
      </c>
      <c r="C321" s="8" t="s">
        <v>1865</v>
      </c>
      <c r="D321" s="8" t="str">
        <f>"9789179298760"</f>
        <v>9789179298760</v>
      </c>
    </row>
    <row r="322" spans="1:4" ht="30" x14ac:dyDescent="0.25">
      <c r="A322" s="7" t="s">
        <v>10870</v>
      </c>
      <c r="B322" s="8" t="s">
        <v>10871</v>
      </c>
      <c r="C322" s="8" t="s">
        <v>2273</v>
      </c>
      <c r="D322" s="8" t="str">
        <f>"9783030946067"</f>
        <v>9783030946067</v>
      </c>
    </row>
    <row r="323" spans="1:4" x14ac:dyDescent="0.25">
      <c r="A323" s="7" t="s">
        <v>7738</v>
      </c>
      <c r="B323" s="8" t="s">
        <v>7739</v>
      </c>
      <c r="C323" s="8" t="s">
        <v>993</v>
      </c>
      <c r="D323" s="8" t="str">
        <f>"9783839429570"</f>
        <v>9783839429570</v>
      </c>
    </row>
    <row r="324" spans="1:4" x14ac:dyDescent="0.25">
      <c r="A324" s="7" t="s">
        <v>2292</v>
      </c>
      <c r="B324" s="8" t="s">
        <v>542</v>
      </c>
      <c r="C324" s="8" t="s">
        <v>355</v>
      </c>
      <c r="D324" s="8" t="str">
        <f>"9783110444414"</f>
        <v>9783110444414</v>
      </c>
    </row>
    <row r="325" spans="1:4" x14ac:dyDescent="0.25">
      <c r="A325" s="7" t="s">
        <v>6775</v>
      </c>
      <c r="B325" s="8" t="s">
        <v>6776</v>
      </c>
      <c r="C325" s="8" t="s">
        <v>1865</v>
      </c>
      <c r="D325" s="8" t="str">
        <f>"9789179296438"</f>
        <v>9789179296438</v>
      </c>
    </row>
    <row r="326" spans="1:4" x14ac:dyDescent="0.25">
      <c r="A326" s="7" t="s">
        <v>4911</v>
      </c>
      <c r="B326" s="8" t="s">
        <v>4912</v>
      </c>
      <c r="C326" s="8" t="s">
        <v>1879</v>
      </c>
      <c r="D326" s="8" t="str">
        <f>"9781783748778"</f>
        <v>9781783748778</v>
      </c>
    </row>
    <row r="327" spans="1:4" ht="30" x14ac:dyDescent="0.25">
      <c r="A327" s="7" t="s">
        <v>6027</v>
      </c>
      <c r="B327" s="8" t="s">
        <v>6028</v>
      </c>
      <c r="C327" s="8" t="s">
        <v>5086</v>
      </c>
      <c r="D327" s="8" t="str">
        <f>"9783658158989"</f>
        <v>9783658158989</v>
      </c>
    </row>
    <row r="328" spans="1:4" ht="30" x14ac:dyDescent="0.25">
      <c r="A328" s="7" t="s">
        <v>6186</v>
      </c>
      <c r="B328" s="8" t="s">
        <v>6187</v>
      </c>
      <c r="C328" s="8" t="s">
        <v>5086</v>
      </c>
      <c r="D328" s="8" t="str">
        <f>"9783658226442"</f>
        <v>9783658226442</v>
      </c>
    </row>
    <row r="329" spans="1:4" x14ac:dyDescent="0.25">
      <c r="A329" s="7" t="s">
        <v>7247</v>
      </c>
      <c r="B329" s="8" t="s">
        <v>7248</v>
      </c>
      <c r="C329" s="8" t="s">
        <v>355</v>
      </c>
      <c r="D329" s="8" t="str">
        <f>"9783110650464"</f>
        <v>9783110650464</v>
      </c>
    </row>
    <row r="330" spans="1:4" x14ac:dyDescent="0.25">
      <c r="A330" s="7" t="s">
        <v>9963</v>
      </c>
      <c r="B330" s="8" t="s">
        <v>9964</v>
      </c>
      <c r="C330" s="8" t="s">
        <v>993</v>
      </c>
      <c r="D330" s="8" t="str">
        <f>"9783839408834"</f>
        <v>9783839408834</v>
      </c>
    </row>
    <row r="331" spans="1:4" ht="30" x14ac:dyDescent="0.25">
      <c r="A331" s="7" t="s">
        <v>5220</v>
      </c>
      <c r="B331" s="8" t="s">
        <v>74</v>
      </c>
      <c r="C331" s="8" t="s">
        <v>2273</v>
      </c>
      <c r="D331" s="8" t="str">
        <f>"9783030588588"</f>
        <v>9783030588588</v>
      </c>
    </row>
    <row r="332" spans="1:4" ht="30" x14ac:dyDescent="0.25">
      <c r="A332" s="7" t="s">
        <v>8579</v>
      </c>
      <c r="B332" s="8" t="s">
        <v>7285</v>
      </c>
      <c r="C332" s="8" t="s">
        <v>2273</v>
      </c>
      <c r="D332" s="8" t="str">
        <f>"9783030885830"</f>
        <v>9783030885830</v>
      </c>
    </row>
    <row r="333" spans="1:4" ht="45" x14ac:dyDescent="0.25">
      <c r="A333" s="7" t="s">
        <v>5323</v>
      </c>
      <c r="B333" s="8" t="s">
        <v>5324</v>
      </c>
      <c r="C333" s="8" t="s">
        <v>2273</v>
      </c>
      <c r="D333" s="8" t="str">
        <f>"9783030493929"</f>
        <v>9783030493929</v>
      </c>
    </row>
    <row r="334" spans="1:4" ht="45" x14ac:dyDescent="0.25">
      <c r="A334" s="7" t="s">
        <v>7284</v>
      </c>
      <c r="B334" s="8" t="s">
        <v>7285</v>
      </c>
      <c r="C334" s="8" t="s">
        <v>2273</v>
      </c>
      <c r="D334" s="8" t="str">
        <f>"9783030780982"</f>
        <v>9783030780982</v>
      </c>
    </row>
    <row r="335" spans="1:4" ht="45" x14ac:dyDescent="0.25">
      <c r="A335" s="7" t="s">
        <v>12189</v>
      </c>
      <c r="B335" s="8" t="s">
        <v>5324</v>
      </c>
      <c r="C335" s="8" t="s">
        <v>2273</v>
      </c>
      <c r="D335" s="8" t="str">
        <f>"9783031081699"</f>
        <v>9783031081699</v>
      </c>
    </row>
    <row r="336" spans="1:4" x14ac:dyDescent="0.25">
      <c r="A336" s="7" t="s">
        <v>5160</v>
      </c>
      <c r="B336" s="8" t="s">
        <v>5161</v>
      </c>
      <c r="C336" s="8" t="s">
        <v>5134</v>
      </c>
      <c r="D336" s="8" t="str">
        <f>"9783662620137"</f>
        <v>9783662620137</v>
      </c>
    </row>
    <row r="337" spans="1:4" x14ac:dyDescent="0.25">
      <c r="A337" s="7" t="s">
        <v>10208</v>
      </c>
      <c r="B337" s="8" t="s">
        <v>10209</v>
      </c>
      <c r="C337" s="8" t="s">
        <v>993</v>
      </c>
      <c r="D337" s="8" t="str">
        <f>"9783839444221"</f>
        <v>9783839444221</v>
      </c>
    </row>
    <row r="338" spans="1:4" ht="30" x14ac:dyDescent="0.25">
      <c r="A338" s="7" t="s">
        <v>5018</v>
      </c>
      <c r="B338" s="8" t="s">
        <v>5019</v>
      </c>
      <c r="C338" s="8" t="s">
        <v>355</v>
      </c>
      <c r="D338" s="8" t="str">
        <f>"9783110677485"</f>
        <v>9783110677485</v>
      </c>
    </row>
    <row r="339" spans="1:4" x14ac:dyDescent="0.25">
      <c r="A339" s="7" t="s">
        <v>11945</v>
      </c>
      <c r="B339" s="8" t="s">
        <v>11946</v>
      </c>
      <c r="C339" s="8" t="s">
        <v>355</v>
      </c>
      <c r="D339" s="8" t="str">
        <f>"9783110722291"</f>
        <v>9783110722291</v>
      </c>
    </row>
    <row r="340" spans="1:4" ht="30" x14ac:dyDescent="0.25">
      <c r="A340" s="7" t="s">
        <v>13103</v>
      </c>
      <c r="B340" s="8" t="s">
        <v>13104</v>
      </c>
      <c r="C340" s="8" t="s">
        <v>12712</v>
      </c>
      <c r="D340" s="8" t="str">
        <f>"9783428572748"</f>
        <v>9783428572748</v>
      </c>
    </row>
    <row r="341" spans="1:4" ht="30" x14ac:dyDescent="0.25">
      <c r="A341" s="7" t="s">
        <v>13106</v>
      </c>
      <c r="B341" s="8" t="s">
        <v>13107</v>
      </c>
      <c r="C341" s="8" t="s">
        <v>12712</v>
      </c>
      <c r="D341" s="8" t="str">
        <f>"9783428572762"</f>
        <v>9783428572762</v>
      </c>
    </row>
    <row r="342" spans="1:4" x14ac:dyDescent="0.25">
      <c r="A342" s="7" t="s">
        <v>2011</v>
      </c>
      <c r="B342" s="8" t="s">
        <v>1968</v>
      </c>
      <c r="C342" s="8" t="s">
        <v>1962</v>
      </c>
      <c r="D342" s="8" t="str">
        <f>"9782759207046"</f>
        <v>9782759207046</v>
      </c>
    </row>
    <row r="343" spans="1:4" ht="30" x14ac:dyDescent="0.25">
      <c r="A343" s="7" t="s">
        <v>5687</v>
      </c>
      <c r="B343" s="8" t="s">
        <v>5688</v>
      </c>
      <c r="C343" s="8" t="s">
        <v>5107</v>
      </c>
      <c r="D343" s="8" t="str">
        <f>"9784431555582"</f>
        <v>9784431555582</v>
      </c>
    </row>
    <row r="344" spans="1:4" x14ac:dyDescent="0.25">
      <c r="A344" s="7" t="s">
        <v>13674</v>
      </c>
      <c r="B344" s="8" t="s">
        <v>13675</v>
      </c>
      <c r="C344" s="8" t="s">
        <v>2274</v>
      </c>
      <c r="D344" s="8" t="str">
        <f>"9789811955426"</f>
        <v>9789811955426</v>
      </c>
    </row>
    <row r="345" spans="1:4" x14ac:dyDescent="0.25">
      <c r="A345" s="7" t="s">
        <v>5883</v>
      </c>
      <c r="B345" s="8" t="s">
        <v>5884</v>
      </c>
      <c r="C345" s="8" t="s">
        <v>5107</v>
      </c>
      <c r="D345" s="8" t="str">
        <f>"9784431543282"</f>
        <v>9784431543282</v>
      </c>
    </row>
    <row r="346" spans="1:4" x14ac:dyDescent="0.25">
      <c r="A346" s="7" t="s">
        <v>6051</v>
      </c>
      <c r="B346" s="8" t="s">
        <v>5884</v>
      </c>
      <c r="C346" s="8" t="s">
        <v>5107</v>
      </c>
      <c r="D346" s="8" t="str">
        <f>"9784431558286"</f>
        <v>9784431558286</v>
      </c>
    </row>
    <row r="347" spans="1:4" ht="30" x14ac:dyDescent="0.25">
      <c r="A347" s="7" t="s">
        <v>7854</v>
      </c>
      <c r="B347" s="8" t="s">
        <v>7855</v>
      </c>
      <c r="C347" s="8" t="s">
        <v>1962</v>
      </c>
      <c r="D347" s="8" t="str">
        <f>"9782759233823"</f>
        <v>9782759233823</v>
      </c>
    </row>
    <row r="348" spans="1:4" ht="30" x14ac:dyDescent="0.25">
      <c r="A348" s="7" t="s">
        <v>8945</v>
      </c>
      <c r="B348" s="8" t="s">
        <v>6574</v>
      </c>
      <c r="C348" s="8" t="s">
        <v>4245</v>
      </c>
      <c r="D348" s="8" t="str">
        <f>"9789813342682"</f>
        <v>9789813342682</v>
      </c>
    </row>
    <row r="349" spans="1:4" x14ac:dyDescent="0.25">
      <c r="A349" s="7" t="s">
        <v>5458</v>
      </c>
      <c r="B349" s="8" t="s">
        <v>5459</v>
      </c>
      <c r="C349" s="8" t="s">
        <v>5064</v>
      </c>
      <c r="D349" s="8" t="str">
        <f>"9789813278356"</f>
        <v>9789813278356</v>
      </c>
    </row>
    <row r="350" spans="1:4" x14ac:dyDescent="0.25">
      <c r="A350" s="7" t="s">
        <v>12385</v>
      </c>
      <c r="B350" s="8" t="s">
        <v>12386</v>
      </c>
      <c r="C350" s="8" t="s">
        <v>2273</v>
      </c>
      <c r="D350" s="8" t="str">
        <f>"9783031079016"</f>
        <v>9783031079016</v>
      </c>
    </row>
    <row r="351" spans="1:4" x14ac:dyDescent="0.25">
      <c r="A351" s="7" t="s">
        <v>7956</v>
      </c>
      <c r="B351" s="8" t="s">
        <v>6818</v>
      </c>
      <c r="C351" s="8" t="s">
        <v>1962</v>
      </c>
      <c r="D351" s="8" t="str">
        <f>"9782759231300"</f>
        <v>9782759231300</v>
      </c>
    </row>
    <row r="352" spans="1:4" x14ac:dyDescent="0.25">
      <c r="A352" s="7" t="s">
        <v>5739</v>
      </c>
      <c r="B352" s="8" t="s">
        <v>5740</v>
      </c>
      <c r="C352" s="8" t="s">
        <v>2273</v>
      </c>
      <c r="D352" s="8" t="str">
        <f>"9783030613150"</f>
        <v>9783030613150</v>
      </c>
    </row>
    <row r="353" spans="1:4" x14ac:dyDescent="0.25">
      <c r="A353" s="7" t="s">
        <v>6817</v>
      </c>
      <c r="B353" s="8" t="s">
        <v>6818</v>
      </c>
      <c r="C353" s="8" t="s">
        <v>1962</v>
      </c>
      <c r="D353" s="8" t="str">
        <f>"9782759232949"</f>
        <v>9782759232949</v>
      </c>
    </row>
    <row r="354" spans="1:4" ht="30" x14ac:dyDescent="0.25">
      <c r="A354" s="7" t="s">
        <v>7939</v>
      </c>
      <c r="B354" s="8" t="s">
        <v>7940</v>
      </c>
      <c r="C354" s="8" t="s">
        <v>1962</v>
      </c>
      <c r="D354" s="8" t="str">
        <f>"9782759230594"</f>
        <v>9782759230594</v>
      </c>
    </row>
    <row r="355" spans="1:4" x14ac:dyDescent="0.25">
      <c r="A355" s="7" t="s">
        <v>14128</v>
      </c>
      <c r="B355" s="8" t="s">
        <v>14129</v>
      </c>
      <c r="C355" s="8" t="s">
        <v>2273</v>
      </c>
      <c r="D355" s="8" t="str">
        <f>"9783031230356"</f>
        <v>9783031230356</v>
      </c>
    </row>
    <row r="356" spans="1:4" x14ac:dyDescent="0.25">
      <c r="A356" s="7" t="s">
        <v>13646</v>
      </c>
      <c r="B356" s="8" t="s">
        <v>13647</v>
      </c>
      <c r="C356" s="8" t="s">
        <v>2273</v>
      </c>
      <c r="D356" s="8" t="str">
        <f>"9783031096877"</f>
        <v>9783031096877</v>
      </c>
    </row>
    <row r="357" spans="1:4" x14ac:dyDescent="0.25">
      <c r="A357" s="7" t="s">
        <v>5720</v>
      </c>
      <c r="B357" s="8" t="s">
        <v>5721</v>
      </c>
      <c r="C357" s="8" t="s">
        <v>2273</v>
      </c>
      <c r="D357" s="8" t="str">
        <f>"9783319333496"</f>
        <v>9783319333496</v>
      </c>
    </row>
    <row r="358" spans="1:4" ht="30" x14ac:dyDescent="0.25">
      <c r="A358" s="7" t="s">
        <v>15743</v>
      </c>
      <c r="B358" s="8" t="s">
        <v>15744</v>
      </c>
      <c r="C358" s="8" t="s">
        <v>1865</v>
      </c>
      <c r="D358" s="8" t="str">
        <f>"9789175197883"</f>
        <v>9789175197883</v>
      </c>
    </row>
    <row r="359" spans="1:4" x14ac:dyDescent="0.25">
      <c r="A359" s="7" t="s">
        <v>2874</v>
      </c>
      <c r="B359" s="8" t="s">
        <v>2875</v>
      </c>
      <c r="C359" s="8" t="s">
        <v>1865</v>
      </c>
      <c r="D359" s="8" t="str">
        <f>"9789176856369"</f>
        <v>9789176856369</v>
      </c>
    </row>
    <row r="360" spans="1:4" ht="30" x14ac:dyDescent="0.25">
      <c r="A360" s="7" t="s">
        <v>6221</v>
      </c>
      <c r="B360" s="8" t="s">
        <v>6204</v>
      </c>
      <c r="C360" s="8" t="s">
        <v>2273</v>
      </c>
      <c r="D360" s="8" t="str">
        <f>"9783319456201"</f>
        <v>9783319456201</v>
      </c>
    </row>
    <row r="361" spans="1:4" x14ac:dyDescent="0.25">
      <c r="A361" s="7" t="s">
        <v>6203</v>
      </c>
      <c r="B361" s="8" t="s">
        <v>6204</v>
      </c>
      <c r="C361" s="8" t="s">
        <v>2273</v>
      </c>
      <c r="D361" s="8" t="str">
        <f>"9783319269405"</f>
        <v>9783319269405</v>
      </c>
    </row>
    <row r="362" spans="1:4" x14ac:dyDescent="0.25">
      <c r="A362" s="7" t="s">
        <v>1183</v>
      </c>
      <c r="B362" s="8" t="s">
        <v>45</v>
      </c>
      <c r="C362" s="8" t="s">
        <v>355</v>
      </c>
      <c r="D362" s="8" t="str">
        <f>"9783486718348"</f>
        <v>9783486718348</v>
      </c>
    </row>
    <row r="363" spans="1:4" x14ac:dyDescent="0.25">
      <c r="A363" s="7" t="s">
        <v>1178</v>
      </c>
      <c r="B363" s="8" t="s">
        <v>1179</v>
      </c>
      <c r="C363" s="8" t="s">
        <v>355</v>
      </c>
      <c r="D363" s="8" t="str">
        <f>"9783486718331"</f>
        <v>9783486718331</v>
      </c>
    </row>
    <row r="364" spans="1:4" x14ac:dyDescent="0.25">
      <c r="A364" s="7" t="s">
        <v>1176</v>
      </c>
      <c r="B364" s="8" t="s">
        <v>1177</v>
      </c>
      <c r="C364" s="8" t="s">
        <v>355</v>
      </c>
      <c r="D364" s="8" t="str">
        <f>"9783486718324"</f>
        <v>9783486718324</v>
      </c>
    </row>
    <row r="365" spans="1:4" x14ac:dyDescent="0.25">
      <c r="A365" s="7" t="s">
        <v>1189</v>
      </c>
      <c r="B365" s="8" t="s">
        <v>1179</v>
      </c>
      <c r="C365" s="8" t="s">
        <v>355</v>
      </c>
      <c r="D365" s="8" t="str">
        <f>"9783486718317"</f>
        <v>9783486718317</v>
      </c>
    </row>
    <row r="366" spans="1:4" x14ac:dyDescent="0.25">
      <c r="A366" s="7" t="s">
        <v>1188</v>
      </c>
      <c r="B366" s="8" t="s">
        <v>34</v>
      </c>
      <c r="C366" s="8" t="s">
        <v>355</v>
      </c>
      <c r="D366" s="8" t="str">
        <f>"9783486718294"</f>
        <v>9783486718294</v>
      </c>
    </row>
    <row r="367" spans="1:4" x14ac:dyDescent="0.25">
      <c r="A367" s="7" t="s">
        <v>2276</v>
      </c>
      <c r="B367" s="8" t="s">
        <v>2277</v>
      </c>
      <c r="C367" s="8" t="s">
        <v>355</v>
      </c>
      <c r="D367" s="8" t="str">
        <f>"9783486718232"</f>
        <v>9783486718232</v>
      </c>
    </row>
    <row r="368" spans="1:4" x14ac:dyDescent="0.25">
      <c r="A368" s="7" t="s">
        <v>1187</v>
      </c>
      <c r="B368" s="8" t="s">
        <v>34</v>
      </c>
      <c r="C368" s="8" t="s">
        <v>355</v>
      </c>
      <c r="D368" s="8" t="str">
        <f>"9783486718225"</f>
        <v>9783486718225</v>
      </c>
    </row>
    <row r="369" spans="1:4" x14ac:dyDescent="0.25">
      <c r="A369" s="7" t="s">
        <v>1186</v>
      </c>
      <c r="B369" s="8" t="s">
        <v>833</v>
      </c>
      <c r="C369" s="8" t="s">
        <v>355</v>
      </c>
      <c r="D369" s="8" t="str">
        <f>"9783486718218"</f>
        <v>9783486718218</v>
      </c>
    </row>
    <row r="370" spans="1:4" x14ac:dyDescent="0.25">
      <c r="A370" s="7" t="s">
        <v>1182</v>
      </c>
      <c r="B370" s="8" t="s">
        <v>1181</v>
      </c>
      <c r="C370" s="8" t="s">
        <v>355</v>
      </c>
      <c r="D370" s="8" t="str">
        <f>"9783486718201"</f>
        <v>9783486718201</v>
      </c>
    </row>
    <row r="371" spans="1:4" x14ac:dyDescent="0.25">
      <c r="A371" s="7" t="s">
        <v>1185</v>
      </c>
      <c r="B371" s="8" t="s">
        <v>34</v>
      </c>
      <c r="C371" s="8" t="s">
        <v>355</v>
      </c>
      <c r="D371" s="8" t="str">
        <f>"9783486718195"</f>
        <v>9783486718195</v>
      </c>
    </row>
    <row r="372" spans="1:4" x14ac:dyDescent="0.25">
      <c r="A372" s="7" t="s">
        <v>1184</v>
      </c>
      <c r="B372" s="8" t="s">
        <v>33</v>
      </c>
      <c r="C372" s="8" t="s">
        <v>355</v>
      </c>
      <c r="D372" s="8" t="str">
        <f>"9783486718188"</f>
        <v>9783486718188</v>
      </c>
    </row>
    <row r="373" spans="1:4" x14ac:dyDescent="0.25">
      <c r="A373" s="7" t="s">
        <v>1180</v>
      </c>
      <c r="B373" s="8" t="s">
        <v>1181</v>
      </c>
      <c r="C373" s="8" t="s">
        <v>355</v>
      </c>
      <c r="D373" s="8" t="str">
        <f>"9783486718171"</f>
        <v>9783486718171</v>
      </c>
    </row>
    <row r="374" spans="1:4" x14ac:dyDescent="0.25">
      <c r="A374" s="7" t="s">
        <v>783</v>
      </c>
      <c r="B374" s="8" t="s">
        <v>784</v>
      </c>
      <c r="C374" s="8" t="s">
        <v>355</v>
      </c>
      <c r="D374" s="8" t="str">
        <f>"9783486722543"</f>
        <v>9783486722543</v>
      </c>
    </row>
    <row r="375" spans="1:4" ht="30" x14ac:dyDescent="0.25">
      <c r="A375" s="7" t="s">
        <v>13721</v>
      </c>
      <c r="B375" s="8" t="s">
        <v>13722</v>
      </c>
      <c r="C375" s="8" t="s">
        <v>993</v>
      </c>
      <c r="D375" s="8" t="str">
        <f>"9783839464991"</f>
        <v>9783839464991</v>
      </c>
    </row>
    <row r="376" spans="1:4" ht="30" x14ac:dyDescent="0.25">
      <c r="A376" s="7" t="s">
        <v>12505</v>
      </c>
      <c r="B376" s="8" t="s">
        <v>12506</v>
      </c>
      <c r="C376" s="8" t="s">
        <v>5086</v>
      </c>
      <c r="D376" s="8" t="str">
        <f>"9783658349707"</f>
        <v>9783658349707</v>
      </c>
    </row>
    <row r="377" spans="1:4" x14ac:dyDescent="0.25">
      <c r="A377" s="7" t="s">
        <v>2370</v>
      </c>
      <c r="B377" s="8" t="s">
        <v>2371</v>
      </c>
      <c r="C377" s="8" t="s">
        <v>1345</v>
      </c>
      <c r="D377" s="8" t="str">
        <f>"9783862199990"</f>
        <v>9783862199990</v>
      </c>
    </row>
    <row r="378" spans="1:4" x14ac:dyDescent="0.25">
      <c r="A378" s="7" t="s">
        <v>1677</v>
      </c>
      <c r="B378" s="8" t="s">
        <v>1678</v>
      </c>
      <c r="C378" s="8" t="s">
        <v>1345</v>
      </c>
      <c r="D378" s="8" t="str">
        <f>"9783862191154"</f>
        <v>9783862191154</v>
      </c>
    </row>
    <row r="379" spans="1:4" x14ac:dyDescent="0.25">
      <c r="A379" s="7" t="s">
        <v>12886</v>
      </c>
      <c r="B379" s="8" t="s">
        <v>12861</v>
      </c>
      <c r="C379" s="8" t="s">
        <v>12712</v>
      </c>
      <c r="D379" s="8" t="str">
        <f>"9783428443055"</f>
        <v>9783428443055</v>
      </c>
    </row>
    <row r="380" spans="1:4" x14ac:dyDescent="0.25">
      <c r="A380" s="7" t="s">
        <v>12844</v>
      </c>
      <c r="B380" s="8" t="s">
        <v>12842</v>
      </c>
      <c r="C380" s="8" t="s">
        <v>12712</v>
      </c>
      <c r="D380" s="8" t="str">
        <f>"9783428434640"</f>
        <v>9783428434640</v>
      </c>
    </row>
    <row r="381" spans="1:4" x14ac:dyDescent="0.25">
      <c r="A381" s="7" t="s">
        <v>12936</v>
      </c>
      <c r="B381" s="8" t="s">
        <v>12920</v>
      </c>
      <c r="C381" s="8" t="s">
        <v>12712</v>
      </c>
      <c r="D381" s="8" t="str">
        <f>"9783428453238"</f>
        <v>9783428453238</v>
      </c>
    </row>
    <row r="382" spans="1:4" x14ac:dyDescent="0.25">
      <c r="A382" s="7" t="s">
        <v>2448</v>
      </c>
      <c r="B382" s="8" t="s">
        <v>2449</v>
      </c>
      <c r="C382" s="8" t="s">
        <v>1865</v>
      </c>
      <c r="D382" s="8" t="str">
        <f>"9789175190242"</f>
        <v>9789175190242</v>
      </c>
    </row>
    <row r="383" spans="1:4" x14ac:dyDescent="0.25">
      <c r="A383" s="7" t="s">
        <v>1273</v>
      </c>
      <c r="B383" s="8" t="s">
        <v>1274</v>
      </c>
      <c r="C383" s="8" t="s">
        <v>1224</v>
      </c>
      <c r="D383" s="8" t="str">
        <f>"9781618110411"</f>
        <v>9781618110411</v>
      </c>
    </row>
    <row r="384" spans="1:4" x14ac:dyDescent="0.25">
      <c r="A384" s="7" t="s">
        <v>1431</v>
      </c>
      <c r="B384" s="8" t="s">
        <v>1432</v>
      </c>
      <c r="C384" s="8" t="s">
        <v>1345</v>
      </c>
      <c r="D384" s="8" t="str">
        <f>"9783862191291"</f>
        <v>9783862191291</v>
      </c>
    </row>
    <row r="385" spans="1:4" ht="30" x14ac:dyDescent="0.25">
      <c r="A385" s="7" t="s">
        <v>15681</v>
      </c>
      <c r="B385" s="8" t="s">
        <v>15682</v>
      </c>
      <c r="C385" s="8" t="s">
        <v>1865</v>
      </c>
      <c r="D385" s="8" t="str">
        <f>"9789176856239"</f>
        <v>9789176856239</v>
      </c>
    </row>
    <row r="386" spans="1:4" x14ac:dyDescent="0.25">
      <c r="A386" s="7" t="s">
        <v>14124</v>
      </c>
      <c r="B386" s="8" t="s">
        <v>14125</v>
      </c>
      <c r="C386" s="8" t="s">
        <v>2274</v>
      </c>
      <c r="D386" s="8" t="str">
        <f>"9783031215346"</f>
        <v>9783031215346</v>
      </c>
    </row>
    <row r="387" spans="1:4" x14ac:dyDescent="0.25">
      <c r="A387" s="7" t="s">
        <v>3584</v>
      </c>
      <c r="B387" s="8" t="s">
        <v>3585</v>
      </c>
      <c r="C387" s="8" t="s">
        <v>1865</v>
      </c>
      <c r="D387" s="8" t="str">
        <f>"9789176853634"</f>
        <v>9789176853634</v>
      </c>
    </row>
    <row r="388" spans="1:4" x14ac:dyDescent="0.25">
      <c r="A388" s="7" t="s">
        <v>7458</v>
      </c>
      <c r="B388" s="8" t="s">
        <v>7459</v>
      </c>
      <c r="C388" s="8" t="s">
        <v>993</v>
      </c>
      <c r="D388" s="8" t="str">
        <f>"9783839438008"</f>
        <v>9783839438008</v>
      </c>
    </row>
    <row r="389" spans="1:4" x14ac:dyDescent="0.25">
      <c r="A389" s="7" t="s">
        <v>9137</v>
      </c>
      <c r="B389" s="8" t="s">
        <v>9139</v>
      </c>
      <c r="C389" s="8" t="s">
        <v>9138</v>
      </c>
      <c r="D389" s="8" t="str">
        <f>"9780520976900"</f>
        <v>9780520976900</v>
      </c>
    </row>
    <row r="390" spans="1:4" x14ac:dyDescent="0.25">
      <c r="A390" s="7" t="s">
        <v>9918</v>
      </c>
      <c r="B390" s="8" t="s">
        <v>9919</v>
      </c>
      <c r="C390" s="8" t="s">
        <v>993</v>
      </c>
      <c r="D390" s="8" t="str">
        <f>"9783839408056"</f>
        <v>9783839408056</v>
      </c>
    </row>
    <row r="391" spans="1:4" x14ac:dyDescent="0.25">
      <c r="A391" s="7" t="s">
        <v>641</v>
      </c>
      <c r="B391" s="8" t="s">
        <v>642</v>
      </c>
      <c r="C391" s="8" t="s">
        <v>562</v>
      </c>
      <c r="D391" s="8" t="str">
        <f>"9780822395102"</f>
        <v>9780822395102</v>
      </c>
    </row>
    <row r="392" spans="1:4" ht="30" x14ac:dyDescent="0.25">
      <c r="A392" s="7" t="s">
        <v>1252</v>
      </c>
      <c r="B392" s="8" t="s">
        <v>1253</v>
      </c>
      <c r="C392" s="8" t="s">
        <v>1224</v>
      </c>
      <c r="D392" s="8" t="str">
        <f>"9781618111289"</f>
        <v>9781618111289</v>
      </c>
    </row>
    <row r="393" spans="1:4" x14ac:dyDescent="0.25">
      <c r="A393" s="7" t="s">
        <v>4275</v>
      </c>
      <c r="B393" s="8" t="s">
        <v>4276</v>
      </c>
      <c r="C393" s="8" t="s">
        <v>1865</v>
      </c>
      <c r="D393" s="8" t="str">
        <f>"9789176851531"</f>
        <v>9789176851531</v>
      </c>
    </row>
    <row r="394" spans="1:4" x14ac:dyDescent="0.25">
      <c r="A394" s="7" t="s">
        <v>4476</v>
      </c>
      <c r="B394" s="8" t="s">
        <v>4477</v>
      </c>
      <c r="C394" s="8" t="s">
        <v>562</v>
      </c>
      <c r="D394" s="8" t="str">
        <f>"9781478005582"</f>
        <v>9781478005582</v>
      </c>
    </row>
    <row r="395" spans="1:4" x14ac:dyDescent="0.25">
      <c r="A395" s="7" t="s">
        <v>4155</v>
      </c>
      <c r="B395" s="8" t="s">
        <v>4156</v>
      </c>
      <c r="C395" s="8" t="s">
        <v>993</v>
      </c>
      <c r="D395" s="8" t="str">
        <f>"9783839443408"</f>
        <v>9783839443408</v>
      </c>
    </row>
    <row r="396" spans="1:4" x14ac:dyDescent="0.25">
      <c r="A396" s="7" t="s">
        <v>14447</v>
      </c>
      <c r="B396" s="8"/>
      <c r="C396" s="8"/>
      <c r="D396" s="8"/>
    </row>
    <row r="397" spans="1:4" x14ac:dyDescent="0.25">
      <c r="A397" s="7" t="s">
        <v>8545</v>
      </c>
      <c r="B397" s="8" t="s">
        <v>8546</v>
      </c>
      <c r="C397" s="8" t="s">
        <v>993</v>
      </c>
      <c r="D397" s="8" t="str">
        <f>"9783839456330"</f>
        <v>9783839456330</v>
      </c>
    </row>
    <row r="398" spans="1:4" ht="30" x14ac:dyDescent="0.25">
      <c r="A398" s="7" t="s">
        <v>10286</v>
      </c>
      <c r="B398" s="8" t="s">
        <v>10287</v>
      </c>
      <c r="C398" s="8" t="s">
        <v>993</v>
      </c>
      <c r="D398" s="8" t="str">
        <f>"9783839447741"</f>
        <v>9783839447741</v>
      </c>
    </row>
    <row r="399" spans="1:4" ht="30" x14ac:dyDescent="0.25">
      <c r="A399" s="7" t="s">
        <v>11136</v>
      </c>
      <c r="B399" s="8" t="s">
        <v>11137</v>
      </c>
      <c r="C399" s="8" t="s">
        <v>5086</v>
      </c>
      <c r="D399" s="8" t="str">
        <f>"9783658376819"</f>
        <v>9783658376819</v>
      </c>
    </row>
    <row r="400" spans="1:4" x14ac:dyDescent="0.25">
      <c r="A400" s="7" t="s">
        <v>10892</v>
      </c>
      <c r="B400" s="8" t="s">
        <v>10893</v>
      </c>
      <c r="C400" s="8" t="s">
        <v>5086</v>
      </c>
      <c r="D400" s="8" t="str">
        <f>"9783658365622"</f>
        <v>9783658365622</v>
      </c>
    </row>
    <row r="401" spans="1:4" x14ac:dyDescent="0.25">
      <c r="A401" s="7" t="s">
        <v>8180</v>
      </c>
      <c r="B401" s="8" t="s">
        <v>6594</v>
      </c>
      <c r="C401" s="8" t="s">
        <v>993</v>
      </c>
      <c r="D401" s="8" t="str">
        <f>"9783839452455"</f>
        <v>9783839452455</v>
      </c>
    </row>
    <row r="402" spans="1:4" x14ac:dyDescent="0.25">
      <c r="A402" s="7" t="s">
        <v>1762</v>
      </c>
      <c r="B402" s="8" t="s">
        <v>1763</v>
      </c>
      <c r="C402" s="8" t="s">
        <v>1345</v>
      </c>
      <c r="D402" s="8" t="str">
        <f>"9783862197033"</f>
        <v>9783862197033</v>
      </c>
    </row>
    <row r="403" spans="1:4" ht="30" x14ac:dyDescent="0.25">
      <c r="A403" s="7" t="s">
        <v>3226</v>
      </c>
      <c r="B403" s="8" t="s">
        <v>1763</v>
      </c>
      <c r="C403" s="8" t="s">
        <v>1345</v>
      </c>
      <c r="D403" s="8" t="str">
        <f>"9783737603119"</f>
        <v>9783737603119</v>
      </c>
    </row>
    <row r="404" spans="1:4" x14ac:dyDescent="0.25">
      <c r="A404" s="7" t="s">
        <v>10896</v>
      </c>
      <c r="B404" s="8" t="s">
        <v>10897</v>
      </c>
      <c r="C404" s="8" t="s">
        <v>5134</v>
      </c>
      <c r="D404" s="8" t="str">
        <f>"9783662634059"</f>
        <v>9783662634059</v>
      </c>
    </row>
    <row r="405" spans="1:4" x14ac:dyDescent="0.25">
      <c r="A405" s="7" t="s">
        <v>6133</v>
      </c>
      <c r="B405" s="8" t="s">
        <v>6134</v>
      </c>
      <c r="C405" s="8" t="s">
        <v>5086</v>
      </c>
      <c r="D405" s="8" t="str">
        <f>"9783658125028"</f>
        <v>9783658125028</v>
      </c>
    </row>
    <row r="406" spans="1:4" x14ac:dyDescent="0.25">
      <c r="A406" s="7" t="s">
        <v>10327</v>
      </c>
      <c r="B406" s="8" t="s">
        <v>10328</v>
      </c>
      <c r="C406" s="8" t="s">
        <v>993</v>
      </c>
      <c r="D406" s="8" t="str">
        <f>"9783839448939"</f>
        <v>9783839448939</v>
      </c>
    </row>
    <row r="407" spans="1:4" x14ac:dyDescent="0.25">
      <c r="A407" s="7" t="s">
        <v>7659</v>
      </c>
      <c r="B407" s="8" t="s">
        <v>88</v>
      </c>
      <c r="C407" s="8" t="s">
        <v>993</v>
      </c>
      <c r="D407" s="8" t="str">
        <f>"9783839424988"</f>
        <v>9783839424988</v>
      </c>
    </row>
    <row r="408" spans="1:4" ht="30" x14ac:dyDescent="0.25">
      <c r="A408" s="7" t="s">
        <v>2825</v>
      </c>
      <c r="B408" s="8" t="s">
        <v>2826</v>
      </c>
      <c r="C408" s="8" t="s">
        <v>1053</v>
      </c>
      <c r="D408" s="8" t="str">
        <f>"9781607325338"</f>
        <v>9781607325338</v>
      </c>
    </row>
    <row r="409" spans="1:4" ht="30" x14ac:dyDescent="0.25">
      <c r="A409" s="7" t="s">
        <v>9376</v>
      </c>
      <c r="B409" s="8" t="s">
        <v>9371</v>
      </c>
      <c r="C409" s="8" t="s">
        <v>9256</v>
      </c>
      <c r="D409" s="8" t="str">
        <f>"9788021096745"</f>
        <v>9788021096745</v>
      </c>
    </row>
    <row r="410" spans="1:4" ht="30" x14ac:dyDescent="0.25">
      <c r="A410" s="7" t="s">
        <v>13406</v>
      </c>
      <c r="B410" s="8" t="s">
        <v>13407</v>
      </c>
      <c r="C410" s="8" t="s">
        <v>5086</v>
      </c>
      <c r="D410" s="8" t="str">
        <f>"9783658368449"</f>
        <v>9783658368449</v>
      </c>
    </row>
    <row r="411" spans="1:4" x14ac:dyDescent="0.25">
      <c r="A411" s="7" t="s">
        <v>8524</v>
      </c>
      <c r="B411" s="8" t="s">
        <v>150</v>
      </c>
      <c r="C411" s="8" t="s">
        <v>993</v>
      </c>
      <c r="D411" s="8" t="str">
        <f>"9783839454022"</f>
        <v>9783839454022</v>
      </c>
    </row>
    <row r="412" spans="1:4" x14ac:dyDescent="0.25">
      <c r="A412" s="7" t="s">
        <v>11852</v>
      </c>
      <c r="B412" s="8" t="s">
        <v>11853</v>
      </c>
      <c r="C412" s="8" t="s">
        <v>355</v>
      </c>
      <c r="D412" s="8" t="str">
        <f>"9783110569070"</f>
        <v>9783110569070</v>
      </c>
    </row>
    <row r="413" spans="1:4" x14ac:dyDescent="0.25">
      <c r="A413" s="7" t="s">
        <v>11324</v>
      </c>
      <c r="B413" s="8" t="s">
        <v>11325</v>
      </c>
      <c r="C413" s="8" t="s">
        <v>355</v>
      </c>
      <c r="D413" s="8" t="str">
        <f>"9783111565163"</f>
        <v>9783111565163</v>
      </c>
    </row>
    <row r="414" spans="1:4" x14ac:dyDescent="0.25">
      <c r="A414" s="7" t="s">
        <v>14318</v>
      </c>
      <c r="B414" s="8" t="s">
        <v>14319</v>
      </c>
      <c r="C414" s="8" t="s">
        <v>5134</v>
      </c>
      <c r="D414" s="8" t="str">
        <f>"9783662664582"</f>
        <v>9783662664582</v>
      </c>
    </row>
    <row r="415" spans="1:4" x14ac:dyDescent="0.25">
      <c r="A415" s="7" t="s">
        <v>7474</v>
      </c>
      <c r="B415" s="8" t="s">
        <v>7475</v>
      </c>
      <c r="C415" s="8" t="s">
        <v>993</v>
      </c>
      <c r="D415" s="8" t="str">
        <f>"9783839425398"</f>
        <v>9783839425398</v>
      </c>
    </row>
    <row r="416" spans="1:4" ht="30" x14ac:dyDescent="0.25">
      <c r="A416" s="7" t="s">
        <v>8345</v>
      </c>
      <c r="B416" s="8" t="s">
        <v>8346</v>
      </c>
      <c r="C416" s="8" t="s">
        <v>993</v>
      </c>
      <c r="D416" s="8" t="str">
        <f>"9783839445396"</f>
        <v>9783839445396</v>
      </c>
    </row>
    <row r="417" spans="1:4" x14ac:dyDescent="0.25">
      <c r="A417" s="7" t="s">
        <v>12287</v>
      </c>
      <c r="B417" s="8" t="s">
        <v>12288</v>
      </c>
      <c r="C417" s="8" t="s">
        <v>993</v>
      </c>
      <c r="D417" s="8" t="str">
        <f>"9783839459072"</f>
        <v>9783839459072</v>
      </c>
    </row>
    <row r="418" spans="1:4" x14ac:dyDescent="0.25">
      <c r="A418" s="7" t="s">
        <v>3957</v>
      </c>
      <c r="B418" s="8" t="s">
        <v>3958</v>
      </c>
      <c r="C418" s="8" t="s">
        <v>1224</v>
      </c>
      <c r="D418" s="8" t="str">
        <f>"9781618115928"</f>
        <v>9781618115928</v>
      </c>
    </row>
    <row r="419" spans="1:4" x14ac:dyDescent="0.25">
      <c r="A419" s="7" t="s">
        <v>9204</v>
      </c>
      <c r="B419" s="8" t="s">
        <v>9205</v>
      </c>
      <c r="C419" s="8" t="s">
        <v>4882</v>
      </c>
      <c r="D419" s="8" t="str">
        <f>"9781781386095"</f>
        <v>9781781386095</v>
      </c>
    </row>
    <row r="420" spans="1:4" x14ac:dyDescent="0.25">
      <c r="A420" s="7" t="s">
        <v>2072</v>
      </c>
      <c r="B420" s="8" t="s">
        <v>2074</v>
      </c>
      <c r="C420" s="8" t="s">
        <v>2073</v>
      </c>
      <c r="D420" s="8" t="str">
        <f>"9781438450230"</f>
        <v>9781438450230</v>
      </c>
    </row>
    <row r="421" spans="1:4" x14ac:dyDescent="0.25">
      <c r="A421" s="7" t="s">
        <v>7746</v>
      </c>
      <c r="B421" s="8" t="s">
        <v>7747</v>
      </c>
      <c r="C421" s="8" t="s">
        <v>993</v>
      </c>
      <c r="D421" s="8" t="str">
        <f>"9783839434550"</f>
        <v>9783839434550</v>
      </c>
    </row>
    <row r="422" spans="1:4" x14ac:dyDescent="0.25">
      <c r="A422" s="7" t="s">
        <v>2579</v>
      </c>
      <c r="B422" s="8" t="s">
        <v>2580</v>
      </c>
      <c r="C422" s="8" t="s">
        <v>2073</v>
      </c>
      <c r="D422" s="8" t="str">
        <f>"9781438459349"</f>
        <v>9781438459349</v>
      </c>
    </row>
    <row r="423" spans="1:4" ht="30" x14ac:dyDescent="0.25">
      <c r="A423" s="7" t="s">
        <v>2723</v>
      </c>
      <c r="B423" s="8" t="s">
        <v>2724</v>
      </c>
      <c r="C423" s="8" t="s">
        <v>1224</v>
      </c>
      <c r="D423" s="8" t="str">
        <f>"9781618115485"</f>
        <v>9781618115485</v>
      </c>
    </row>
    <row r="424" spans="1:4" ht="30" x14ac:dyDescent="0.25">
      <c r="A424" s="7" t="s">
        <v>4838</v>
      </c>
      <c r="B424" s="8" t="s">
        <v>4839</v>
      </c>
      <c r="C424" s="8" t="s">
        <v>993</v>
      </c>
      <c r="D424" s="8" t="str">
        <f>"9783839450932"</f>
        <v>9783839450932</v>
      </c>
    </row>
    <row r="425" spans="1:4" ht="30" x14ac:dyDescent="0.25">
      <c r="A425" s="7" t="s">
        <v>10568</v>
      </c>
      <c r="B425" s="8" t="s">
        <v>10569</v>
      </c>
      <c r="C425" s="8" t="s">
        <v>993</v>
      </c>
      <c r="D425" s="8" t="str">
        <f>"9783839460085"</f>
        <v>9783839460085</v>
      </c>
    </row>
    <row r="426" spans="1:4" x14ac:dyDescent="0.25">
      <c r="A426" s="7" t="s">
        <v>3146</v>
      </c>
      <c r="B426" s="8"/>
      <c r="C426" s="8"/>
      <c r="D426" s="8"/>
    </row>
    <row r="427" spans="1:4" x14ac:dyDescent="0.25">
      <c r="A427" s="7" t="s">
        <v>15176</v>
      </c>
      <c r="B427" s="8" t="s">
        <v>15177</v>
      </c>
      <c r="C427" s="8" t="s">
        <v>1865</v>
      </c>
      <c r="D427" s="8" t="str">
        <f>"9789175198903"</f>
        <v>9789175198903</v>
      </c>
    </row>
    <row r="428" spans="1:4" x14ac:dyDescent="0.25">
      <c r="A428" s="7" t="s">
        <v>3665</v>
      </c>
      <c r="B428" s="8" t="s">
        <v>3666</v>
      </c>
      <c r="C428" s="8" t="s">
        <v>1879</v>
      </c>
      <c r="D428" s="8" t="str">
        <f>"9781783743155"</f>
        <v>9781783743155</v>
      </c>
    </row>
    <row r="429" spans="1:4" x14ac:dyDescent="0.25">
      <c r="A429" s="7" t="s">
        <v>6709</v>
      </c>
      <c r="B429" s="8" t="s">
        <v>6710</v>
      </c>
      <c r="C429" s="8" t="s">
        <v>6707</v>
      </c>
      <c r="D429" s="8" t="str">
        <f>"9780472902217"</f>
        <v>9780472902217</v>
      </c>
    </row>
    <row r="430" spans="1:4" ht="30" x14ac:dyDescent="0.25">
      <c r="A430" s="7" t="s">
        <v>2854</v>
      </c>
      <c r="B430" s="8" t="s">
        <v>2855</v>
      </c>
      <c r="C430" s="8" t="s">
        <v>562</v>
      </c>
      <c r="D430" s="8" t="str">
        <f>"9780822373735"</f>
        <v>9780822373735</v>
      </c>
    </row>
    <row r="431" spans="1:4" ht="30" x14ac:dyDescent="0.25">
      <c r="A431" s="7" t="s">
        <v>10273</v>
      </c>
      <c r="B431" s="8" t="s">
        <v>10274</v>
      </c>
      <c r="C431" s="8" t="s">
        <v>993</v>
      </c>
      <c r="D431" s="8" t="str">
        <f>"9783839447147"</f>
        <v>9783839447147</v>
      </c>
    </row>
    <row r="432" spans="1:4" ht="30" x14ac:dyDescent="0.25">
      <c r="A432" s="7" t="s">
        <v>828</v>
      </c>
      <c r="B432" s="8" t="s">
        <v>829</v>
      </c>
      <c r="C432" s="8" t="s">
        <v>355</v>
      </c>
      <c r="D432" s="8" t="str">
        <f>"9788376560823"</f>
        <v>9788376560823</v>
      </c>
    </row>
    <row r="433" spans="1:4" x14ac:dyDescent="0.25">
      <c r="A433" s="7" t="s">
        <v>643</v>
      </c>
      <c r="B433" s="8" t="s">
        <v>644</v>
      </c>
      <c r="C433" s="8" t="s">
        <v>562</v>
      </c>
      <c r="D433" s="8" t="str">
        <f>"9780822395560"</f>
        <v>9780822395560</v>
      </c>
    </row>
    <row r="434" spans="1:4" x14ac:dyDescent="0.25">
      <c r="A434" s="7" t="s">
        <v>854</v>
      </c>
      <c r="B434" s="8" t="s">
        <v>855</v>
      </c>
      <c r="C434" s="8" t="s">
        <v>355</v>
      </c>
      <c r="D434" s="8" t="str">
        <f>"9783110370119"</f>
        <v>9783110370119</v>
      </c>
    </row>
    <row r="435" spans="1:4" x14ac:dyDescent="0.25">
      <c r="A435" s="7" t="s">
        <v>7051</v>
      </c>
      <c r="B435" s="8" t="s">
        <v>7052</v>
      </c>
      <c r="C435" s="8" t="s">
        <v>355</v>
      </c>
      <c r="D435" s="8" t="str">
        <f>"9783110677263"</f>
        <v>9783110677263</v>
      </c>
    </row>
    <row r="436" spans="1:4" x14ac:dyDescent="0.25">
      <c r="A436" s="7" t="s">
        <v>11079</v>
      </c>
      <c r="B436" s="8" t="s">
        <v>11080</v>
      </c>
      <c r="C436" s="8" t="s">
        <v>6707</v>
      </c>
      <c r="D436" s="8" t="str">
        <f>"9780472901487"</f>
        <v>9780472901487</v>
      </c>
    </row>
    <row r="437" spans="1:4" ht="30" x14ac:dyDescent="0.25">
      <c r="A437" s="7" t="s">
        <v>2528</v>
      </c>
      <c r="B437" s="8" t="s">
        <v>2529</v>
      </c>
      <c r="C437" s="8" t="s">
        <v>1865</v>
      </c>
      <c r="D437" s="8" t="str">
        <f>"9789176858547"</f>
        <v>9789176858547</v>
      </c>
    </row>
    <row r="438" spans="1:4" ht="45" x14ac:dyDescent="0.25">
      <c r="A438" s="7" t="s">
        <v>5221</v>
      </c>
      <c r="B438" s="8" t="s">
        <v>5222</v>
      </c>
      <c r="C438" s="8" t="s">
        <v>1865</v>
      </c>
      <c r="D438" s="8" t="str">
        <f>"9789179298036"</f>
        <v>9789179298036</v>
      </c>
    </row>
    <row r="439" spans="1:4" ht="30" x14ac:dyDescent="0.25">
      <c r="A439" s="7" t="s">
        <v>15349</v>
      </c>
      <c r="B439" s="8" t="s">
        <v>15350</v>
      </c>
      <c r="C439" s="8" t="s">
        <v>1865</v>
      </c>
      <c r="D439" s="8" t="str">
        <f>"9789175190907"</f>
        <v>9789175190907</v>
      </c>
    </row>
    <row r="440" spans="1:4" x14ac:dyDescent="0.25">
      <c r="A440" s="7" t="s">
        <v>4269</v>
      </c>
      <c r="B440" s="8" t="s">
        <v>4270</v>
      </c>
      <c r="C440" s="8" t="s">
        <v>562</v>
      </c>
      <c r="D440" s="8" t="str">
        <f>"9781478002635"</f>
        <v>9781478002635</v>
      </c>
    </row>
    <row r="441" spans="1:4" x14ac:dyDescent="0.25">
      <c r="A441" s="7" t="s">
        <v>978</v>
      </c>
      <c r="B441" s="8" t="s">
        <v>979</v>
      </c>
      <c r="C441" s="8" t="s">
        <v>355</v>
      </c>
      <c r="D441" s="8" t="str">
        <f>"9783110426045"</f>
        <v>9783110426045</v>
      </c>
    </row>
    <row r="442" spans="1:4" x14ac:dyDescent="0.25">
      <c r="A442" s="7" t="s">
        <v>12663</v>
      </c>
      <c r="B442" s="8" t="s">
        <v>12664</v>
      </c>
      <c r="C442" s="8" t="s">
        <v>2273</v>
      </c>
      <c r="D442" s="8" t="str">
        <f>"9783031046834"</f>
        <v>9783031046834</v>
      </c>
    </row>
    <row r="443" spans="1:4" x14ac:dyDescent="0.25">
      <c r="A443" s="7" t="s">
        <v>14559</v>
      </c>
      <c r="B443" s="8" t="s">
        <v>14560</v>
      </c>
      <c r="C443" s="8" t="s">
        <v>1865</v>
      </c>
      <c r="D443" s="8" t="str">
        <f>"9789179296353"</f>
        <v>9789179296353</v>
      </c>
    </row>
    <row r="444" spans="1:4" x14ac:dyDescent="0.25">
      <c r="A444" s="7" t="s">
        <v>15426</v>
      </c>
      <c r="B444" s="8" t="s">
        <v>8997</v>
      </c>
      <c r="C444" s="8" t="s">
        <v>1865</v>
      </c>
      <c r="D444" s="8" t="str">
        <f>"9789176850589"</f>
        <v>9789176850589</v>
      </c>
    </row>
    <row r="445" spans="1:4" x14ac:dyDescent="0.25">
      <c r="A445" s="7" t="s">
        <v>14350</v>
      </c>
      <c r="B445" s="8" t="s">
        <v>14351</v>
      </c>
      <c r="C445" s="8" t="s">
        <v>1879</v>
      </c>
      <c r="D445" s="8" t="str">
        <f>"9781800647442"</f>
        <v>9781800647442</v>
      </c>
    </row>
    <row r="446" spans="1:4" ht="30" x14ac:dyDescent="0.25">
      <c r="A446" s="7" t="s">
        <v>11436</v>
      </c>
      <c r="B446" s="8" t="s">
        <v>11437</v>
      </c>
      <c r="C446" s="8" t="s">
        <v>355</v>
      </c>
      <c r="D446" s="8" t="str">
        <f>"9783110735574"</f>
        <v>9783110735574</v>
      </c>
    </row>
    <row r="447" spans="1:4" ht="30" x14ac:dyDescent="0.25">
      <c r="A447" s="7" t="s">
        <v>4397</v>
      </c>
      <c r="B447" s="8" t="s">
        <v>4398</v>
      </c>
      <c r="C447" s="8" t="s">
        <v>1865</v>
      </c>
      <c r="D447" s="8" t="str">
        <f>"9789176850862"</f>
        <v>9789176850862</v>
      </c>
    </row>
    <row r="448" spans="1:4" ht="30" x14ac:dyDescent="0.25">
      <c r="A448" s="7" t="s">
        <v>4480</v>
      </c>
      <c r="B448" s="8" t="s">
        <v>4481</v>
      </c>
      <c r="C448" s="8" t="s">
        <v>1865</v>
      </c>
      <c r="D448" s="8" t="str">
        <f>"9789176850633"</f>
        <v>9789176850633</v>
      </c>
    </row>
    <row r="449" spans="1:4" ht="30" x14ac:dyDescent="0.25">
      <c r="A449" s="7" t="s">
        <v>2454</v>
      </c>
      <c r="B449" s="8" t="s">
        <v>2455</v>
      </c>
      <c r="C449" s="8" t="s">
        <v>1865</v>
      </c>
      <c r="D449" s="8" t="str">
        <f>"9789176859254"</f>
        <v>9789176859254</v>
      </c>
    </row>
    <row r="450" spans="1:4" x14ac:dyDescent="0.25">
      <c r="A450" s="7" t="s">
        <v>13447</v>
      </c>
      <c r="B450" s="8" t="s">
        <v>13448</v>
      </c>
      <c r="C450" s="8" t="s">
        <v>2273</v>
      </c>
      <c r="D450" s="8" t="str">
        <f>"9783031083921"</f>
        <v>9783031083921</v>
      </c>
    </row>
    <row r="451" spans="1:4" x14ac:dyDescent="0.25">
      <c r="A451" s="7" t="s">
        <v>9409</v>
      </c>
      <c r="B451" s="8" t="s">
        <v>9410</v>
      </c>
      <c r="C451" s="8" t="s">
        <v>9256</v>
      </c>
      <c r="D451" s="8" t="str">
        <f>"9788021097995"</f>
        <v>9788021097995</v>
      </c>
    </row>
    <row r="452" spans="1:4" ht="30" x14ac:dyDescent="0.25">
      <c r="A452" s="7" t="s">
        <v>9718</v>
      </c>
      <c r="B452" s="8" t="s">
        <v>9719</v>
      </c>
      <c r="C452" s="8" t="s">
        <v>993</v>
      </c>
      <c r="D452" s="8" t="str">
        <f>"9783839402542"</f>
        <v>9783839402542</v>
      </c>
    </row>
    <row r="453" spans="1:4" ht="30" x14ac:dyDescent="0.25">
      <c r="A453" s="7" t="s">
        <v>16358</v>
      </c>
      <c r="B453" s="8" t="s">
        <v>16359</v>
      </c>
      <c r="C453" s="8" t="s">
        <v>1865</v>
      </c>
      <c r="D453" s="8" t="str">
        <f>"9789175197739"</f>
        <v>9789175197739</v>
      </c>
    </row>
    <row r="454" spans="1:4" ht="30" x14ac:dyDescent="0.25">
      <c r="A454" s="7" t="s">
        <v>1842</v>
      </c>
      <c r="B454" s="8" t="s">
        <v>1843</v>
      </c>
      <c r="C454" s="8" t="s">
        <v>1345</v>
      </c>
      <c r="D454" s="8" t="str">
        <f>"9783862198719"</f>
        <v>9783862198719</v>
      </c>
    </row>
    <row r="455" spans="1:4" ht="30" x14ac:dyDescent="0.25">
      <c r="A455" s="7" t="s">
        <v>1419</v>
      </c>
      <c r="B455" s="8" t="s">
        <v>1420</v>
      </c>
      <c r="C455" s="8" t="s">
        <v>1345</v>
      </c>
      <c r="D455" s="8" t="str">
        <f>"9783862190430"</f>
        <v>9783862190430</v>
      </c>
    </row>
    <row r="456" spans="1:4" ht="30" x14ac:dyDescent="0.25">
      <c r="A456" s="7" t="s">
        <v>1455</v>
      </c>
      <c r="B456" s="8" t="s">
        <v>1456</v>
      </c>
      <c r="C456" s="8" t="s">
        <v>1345</v>
      </c>
      <c r="D456" s="8" t="str">
        <f>"9783862191895"</f>
        <v>9783862191895</v>
      </c>
    </row>
    <row r="457" spans="1:4" ht="30" x14ac:dyDescent="0.25">
      <c r="A457" s="7" t="s">
        <v>8075</v>
      </c>
      <c r="B457" s="8" t="s">
        <v>8076</v>
      </c>
      <c r="C457" s="8" t="s">
        <v>5086</v>
      </c>
      <c r="D457" s="8" t="str">
        <f>"9783658339814"</f>
        <v>9783658339814</v>
      </c>
    </row>
    <row r="458" spans="1:4" x14ac:dyDescent="0.25">
      <c r="A458" s="7" t="s">
        <v>1850</v>
      </c>
      <c r="B458" s="8" t="s">
        <v>1851</v>
      </c>
      <c r="C458" s="8" t="s">
        <v>1345</v>
      </c>
      <c r="D458" s="8" t="str">
        <f>"9783862198238"</f>
        <v>9783862198238</v>
      </c>
    </row>
    <row r="459" spans="1:4" ht="30" x14ac:dyDescent="0.25">
      <c r="A459" s="7" t="s">
        <v>15377</v>
      </c>
      <c r="B459" s="8" t="s">
        <v>15378</v>
      </c>
      <c r="C459" s="8" t="s">
        <v>1865</v>
      </c>
      <c r="D459" s="8" t="str">
        <f>"9789175192482"</f>
        <v>9789175192482</v>
      </c>
    </row>
    <row r="460" spans="1:4" x14ac:dyDescent="0.25">
      <c r="A460" s="7" t="s">
        <v>6414</v>
      </c>
      <c r="B460" s="8" t="s">
        <v>6415</v>
      </c>
      <c r="C460" s="8" t="s">
        <v>1865</v>
      </c>
      <c r="D460" s="8" t="str">
        <f>"9789179297343"</f>
        <v>9789179297343</v>
      </c>
    </row>
    <row r="461" spans="1:4" x14ac:dyDescent="0.25">
      <c r="A461" s="7" t="s">
        <v>15089</v>
      </c>
      <c r="B461" s="8" t="s">
        <v>4825</v>
      </c>
      <c r="C461" s="8" t="s">
        <v>1865</v>
      </c>
      <c r="D461" s="8" t="str">
        <f>"9789176853238"</f>
        <v>9789176853238</v>
      </c>
    </row>
    <row r="462" spans="1:4" x14ac:dyDescent="0.25">
      <c r="A462" s="7" t="s">
        <v>14561</v>
      </c>
      <c r="B462" s="8" t="s">
        <v>9009</v>
      </c>
      <c r="C462" s="8" t="s">
        <v>1865</v>
      </c>
      <c r="D462" s="8" t="str">
        <f>"9789179299118"</f>
        <v>9789179299118</v>
      </c>
    </row>
    <row r="463" spans="1:4" x14ac:dyDescent="0.25">
      <c r="A463" s="7" t="s">
        <v>16224</v>
      </c>
      <c r="B463" s="8" t="s">
        <v>16225</v>
      </c>
      <c r="C463" s="8" t="s">
        <v>1865</v>
      </c>
      <c r="D463" s="8" t="str">
        <f>"9789175196923"</f>
        <v>9789175196923</v>
      </c>
    </row>
    <row r="464" spans="1:4" x14ac:dyDescent="0.25">
      <c r="A464" s="7" t="s">
        <v>12620</v>
      </c>
      <c r="B464" s="8" t="s">
        <v>12621</v>
      </c>
      <c r="C464" s="8" t="s">
        <v>2274</v>
      </c>
      <c r="D464" s="8" t="str">
        <f>"9789811937637"</f>
        <v>9789811937637</v>
      </c>
    </row>
    <row r="465" spans="1:4" ht="30" x14ac:dyDescent="0.25">
      <c r="A465" s="7" t="s">
        <v>14499</v>
      </c>
      <c r="B465" s="8" t="s">
        <v>14500</v>
      </c>
      <c r="C465" s="8" t="s">
        <v>1865</v>
      </c>
      <c r="D465" s="8" t="str">
        <f>"9789179297565"</f>
        <v>9789179297565</v>
      </c>
    </row>
    <row r="466" spans="1:4" x14ac:dyDescent="0.25">
      <c r="A466" s="7" t="s">
        <v>16042</v>
      </c>
      <c r="B466" s="8" t="s">
        <v>6846</v>
      </c>
      <c r="C466" s="8" t="s">
        <v>1865</v>
      </c>
      <c r="D466" s="8" t="str">
        <f>"9789176850558"</f>
        <v>9789176850558</v>
      </c>
    </row>
    <row r="467" spans="1:4" x14ac:dyDescent="0.25">
      <c r="A467" s="7" t="s">
        <v>15525</v>
      </c>
      <c r="B467" s="8" t="s">
        <v>15526</v>
      </c>
      <c r="C467" s="8" t="s">
        <v>1865</v>
      </c>
      <c r="D467" s="8" t="str">
        <f>"9789176858264"</f>
        <v>9789176858264</v>
      </c>
    </row>
    <row r="468" spans="1:4" x14ac:dyDescent="0.25">
      <c r="A468" s="7" t="s">
        <v>2426</v>
      </c>
      <c r="B468" s="8" t="s">
        <v>2427</v>
      </c>
      <c r="C468" s="8" t="s">
        <v>1865</v>
      </c>
      <c r="D468" s="8" t="str">
        <f>"9789176859308"</f>
        <v>9789176859308</v>
      </c>
    </row>
    <row r="469" spans="1:4" x14ac:dyDescent="0.25">
      <c r="A469" s="7" t="s">
        <v>4441</v>
      </c>
      <c r="B469" s="8" t="s">
        <v>4442</v>
      </c>
      <c r="C469" s="8" t="s">
        <v>1345</v>
      </c>
      <c r="D469" s="8" t="str">
        <f>"9783737606813"</f>
        <v>9783737606813</v>
      </c>
    </row>
    <row r="470" spans="1:4" ht="30" x14ac:dyDescent="0.25">
      <c r="A470" s="7" t="s">
        <v>10137</v>
      </c>
      <c r="B470" s="8" t="s">
        <v>10138</v>
      </c>
      <c r="C470" s="8" t="s">
        <v>993</v>
      </c>
      <c r="D470" s="8" t="str">
        <f>"9783839439319"</f>
        <v>9783839439319</v>
      </c>
    </row>
    <row r="471" spans="1:4" x14ac:dyDescent="0.25">
      <c r="A471" s="7" t="s">
        <v>7862</v>
      </c>
      <c r="B471" s="8" t="s">
        <v>7863</v>
      </c>
      <c r="C471" s="8" t="s">
        <v>5086</v>
      </c>
      <c r="D471" s="8" t="str">
        <f>"9783658331047"</f>
        <v>9783658331047</v>
      </c>
    </row>
    <row r="472" spans="1:4" x14ac:dyDescent="0.25">
      <c r="A472" s="7" t="s">
        <v>11085</v>
      </c>
      <c r="B472" s="8" t="s">
        <v>11086</v>
      </c>
      <c r="C472" s="8" t="s">
        <v>2082</v>
      </c>
      <c r="D472" s="8" t="str">
        <f>"9780472901050"</f>
        <v>9780472901050</v>
      </c>
    </row>
    <row r="473" spans="1:4" x14ac:dyDescent="0.25">
      <c r="A473" s="7" t="s">
        <v>8573</v>
      </c>
      <c r="B473" s="8" t="s">
        <v>8574</v>
      </c>
      <c r="C473" s="8" t="s">
        <v>1879</v>
      </c>
      <c r="D473" s="8" t="str">
        <f>"9781800642560"</f>
        <v>9781800642560</v>
      </c>
    </row>
    <row r="474" spans="1:4" x14ac:dyDescent="0.25">
      <c r="A474" s="7" t="s">
        <v>1055</v>
      </c>
      <c r="B474" s="8" t="s">
        <v>1056</v>
      </c>
      <c r="C474" s="8" t="s">
        <v>1053</v>
      </c>
      <c r="D474" s="8" t="str">
        <f>"9781607321743"</f>
        <v>9781607321743</v>
      </c>
    </row>
    <row r="475" spans="1:4" ht="30" x14ac:dyDescent="0.25">
      <c r="A475" s="7" t="s">
        <v>8402</v>
      </c>
      <c r="B475" s="8" t="s">
        <v>8371</v>
      </c>
      <c r="C475" s="8" t="s">
        <v>993</v>
      </c>
      <c r="D475" s="8" t="str">
        <f>"9783839456514"</f>
        <v>9783839456514</v>
      </c>
    </row>
    <row r="476" spans="1:4" x14ac:dyDescent="0.25">
      <c r="A476" s="7" t="s">
        <v>1219</v>
      </c>
      <c r="B476" s="8" t="s">
        <v>1220</v>
      </c>
      <c r="C476" s="8" t="s">
        <v>355</v>
      </c>
      <c r="D476" s="8" t="str">
        <f>"9783486835588"</f>
        <v>9783486835588</v>
      </c>
    </row>
    <row r="477" spans="1:4" x14ac:dyDescent="0.25">
      <c r="A477" s="7" t="s">
        <v>5638</v>
      </c>
      <c r="B477" s="8" t="s">
        <v>5639</v>
      </c>
      <c r="C477" s="8" t="s">
        <v>5484</v>
      </c>
      <c r="D477" s="8" t="str">
        <f>"9781484201008"</f>
        <v>9781484201008</v>
      </c>
    </row>
    <row r="478" spans="1:4" x14ac:dyDescent="0.25">
      <c r="A478" s="7" t="s">
        <v>5950</v>
      </c>
      <c r="B478" s="8" t="s">
        <v>5951</v>
      </c>
      <c r="C478" s="8" t="s">
        <v>5484</v>
      </c>
      <c r="D478" s="8" t="str">
        <f>"9781430261315"</f>
        <v>9781430261315</v>
      </c>
    </row>
    <row r="479" spans="1:4" x14ac:dyDescent="0.25">
      <c r="A479" s="7" t="s">
        <v>1015</v>
      </c>
      <c r="B479" s="8" t="s">
        <v>1016</v>
      </c>
      <c r="C479" s="8" t="s">
        <v>355</v>
      </c>
      <c r="D479" s="8" t="str">
        <f>"9783110415513"</f>
        <v>9783110415513</v>
      </c>
    </row>
    <row r="480" spans="1:4" ht="30" x14ac:dyDescent="0.25">
      <c r="A480" s="7" t="s">
        <v>1758</v>
      </c>
      <c r="B480" s="8" t="s">
        <v>1759</v>
      </c>
      <c r="C480" s="8" t="s">
        <v>1345</v>
      </c>
      <c r="D480" s="8" t="str">
        <f>"9783862197170"</f>
        <v>9783862197170</v>
      </c>
    </row>
    <row r="481" spans="1:4" x14ac:dyDescent="0.25">
      <c r="A481" s="7" t="s">
        <v>12514</v>
      </c>
      <c r="B481" s="8" t="s">
        <v>12515</v>
      </c>
      <c r="C481" s="8" t="s">
        <v>316</v>
      </c>
      <c r="D481" s="8" t="str">
        <f>"9783110786675"</f>
        <v>9783110786675</v>
      </c>
    </row>
    <row r="482" spans="1:4" x14ac:dyDescent="0.25">
      <c r="A482" s="7" t="s">
        <v>3489</v>
      </c>
      <c r="B482" s="8" t="s">
        <v>3490</v>
      </c>
      <c r="C482" s="8" t="s">
        <v>329</v>
      </c>
      <c r="D482" s="8" t="str">
        <f>"9789048528387"</f>
        <v>9789048528387</v>
      </c>
    </row>
    <row r="483" spans="1:4" x14ac:dyDescent="0.25">
      <c r="A483" s="7" t="s">
        <v>11712</v>
      </c>
      <c r="B483" s="8" t="s">
        <v>69</v>
      </c>
      <c r="C483" s="8" t="s">
        <v>355</v>
      </c>
      <c r="D483" s="8" t="str">
        <f>"9783110729603"</f>
        <v>9783110729603</v>
      </c>
    </row>
    <row r="484" spans="1:4" x14ac:dyDescent="0.25">
      <c r="A484" s="7" t="s">
        <v>2147</v>
      </c>
      <c r="B484" s="8" t="s">
        <v>2148</v>
      </c>
      <c r="C484" s="8" t="s">
        <v>1879</v>
      </c>
      <c r="D484" s="8" t="str">
        <f>"9781783741199"</f>
        <v>9781783741199</v>
      </c>
    </row>
    <row r="485" spans="1:4" x14ac:dyDescent="0.25">
      <c r="A485" s="7" t="s">
        <v>6123</v>
      </c>
      <c r="B485" s="8" t="s">
        <v>6124</v>
      </c>
      <c r="C485" s="8" t="s">
        <v>2273</v>
      </c>
      <c r="D485" s="8" t="str">
        <f>"9783319643373"</f>
        <v>9783319643373</v>
      </c>
    </row>
    <row r="486" spans="1:4" x14ac:dyDescent="0.25">
      <c r="A486" s="7" t="s">
        <v>6831</v>
      </c>
      <c r="B486" s="8" t="s">
        <v>6832</v>
      </c>
      <c r="C486" s="8" t="s">
        <v>2273</v>
      </c>
      <c r="D486" s="8" t="str">
        <f>"9783030635237"</f>
        <v>9783030635237</v>
      </c>
    </row>
    <row r="487" spans="1:4" x14ac:dyDescent="0.25">
      <c r="A487" s="7" t="s">
        <v>846</v>
      </c>
      <c r="B487" s="8" t="s">
        <v>603</v>
      </c>
      <c r="C487" s="8" t="s">
        <v>562</v>
      </c>
      <c r="D487" s="8" t="str">
        <f>"9780822376811"</f>
        <v>9780822376811</v>
      </c>
    </row>
    <row r="488" spans="1:4" x14ac:dyDescent="0.25">
      <c r="A488" s="7" t="s">
        <v>6957</v>
      </c>
      <c r="B488" s="8" t="s">
        <v>6958</v>
      </c>
      <c r="C488" s="8" t="s">
        <v>2273</v>
      </c>
      <c r="D488" s="8" t="str">
        <f>"9783030742270"</f>
        <v>9783030742270</v>
      </c>
    </row>
    <row r="489" spans="1:4" ht="30" x14ac:dyDescent="0.25">
      <c r="A489" s="7" t="s">
        <v>14586</v>
      </c>
      <c r="B489" s="8" t="s">
        <v>10693</v>
      </c>
      <c r="C489" s="8" t="s">
        <v>1865</v>
      </c>
      <c r="D489" s="8" t="str">
        <f>"9789179298111"</f>
        <v>9789179298111</v>
      </c>
    </row>
    <row r="490" spans="1:4" ht="30" x14ac:dyDescent="0.25">
      <c r="A490" s="7" t="s">
        <v>10692</v>
      </c>
      <c r="B490" s="8" t="s">
        <v>10693</v>
      </c>
      <c r="C490" s="8" t="s">
        <v>1865</v>
      </c>
      <c r="D490" s="8" t="str">
        <f>"9789179293147"</f>
        <v>9789179293147</v>
      </c>
    </row>
    <row r="491" spans="1:4" x14ac:dyDescent="0.25">
      <c r="A491" s="7" t="s">
        <v>6497</v>
      </c>
      <c r="B491" s="8" t="s">
        <v>6498</v>
      </c>
      <c r="C491" s="8" t="s">
        <v>2273</v>
      </c>
      <c r="D491" s="8" t="str">
        <f>"9783030562151"</f>
        <v>9783030562151</v>
      </c>
    </row>
    <row r="492" spans="1:4" ht="30" x14ac:dyDescent="0.25">
      <c r="A492" s="7" t="s">
        <v>8400</v>
      </c>
      <c r="B492" s="8" t="s">
        <v>8401</v>
      </c>
      <c r="C492" s="8" t="s">
        <v>993</v>
      </c>
      <c r="D492" s="8" t="str">
        <f>"9783839447253"</f>
        <v>9783839447253</v>
      </c>
    </row>
    <row r="493" spans="1:4" x14ac:dyDescent="0.25">
      <c r="A493" s="7" t="s">
        <v>8946</v>
      </c>
      <c r="B493" s="8" t="s">
        <v>8947</v>
      </c>
      <c r="C493" s="8" t="s">
        <v>2273</v>
      </c>
      <c r="D493" s="8" t="str">
        <f>"9783030740320"</f>
        <v>9783030740320</v>
      </c>
    </row>
    <row r="494" spans="1:4" x14ac:dyDescent="0.25">
      <c r="A494" s="7" t="s">
        <v>7082</v>
      </c>
      <c r="B494" s="8" t="s">
        <v>7083</v>
      </c>
      <c r="C494" s="8" t="s">
        <v>355</v>
      </c>
      <c r="D494" s="8" t="str">
        <f>"9783110689112"</f>
        <v>9783110689112</v>
      </c>
    </row>
    <row r="495" spans="1:4" x14ac:dyDescent="0.25">
      <c r="A495" s="7" t="s">
        <v>13455</v>
      </c>
      <c r="B495" s="8" t="s">
        <v>13456</v>
      </c>
      <c r="C495" s="8" t="s">
        <v>2274</v>
      </c>
      <c r="D495" s="8" t="str">
        <f>"9789811955082"</f>
        <v>9789811955082</v>
      </c>
    </row>
    <row r="496" spans="1:4" x14ac:dyDescent="0.25">
      <c r="A496" s="7" t="s">
        <v>4473</v>
      </c>
      <c r="B496" s="8" t="s">
        <v>2374</v>
      </c>
      <c r="C496" s="8" t="s">
        <v>1879</v>
      </c>
      <c r="D496" s="8" t="str">
        <f>"9781783747283"</f>
        <v>9781783747283</v>
      </c>
    </row>
    <row r="497" spans="1:4" x14ac:dyDescent="0.25">
      <c r="A497" s="7" t="s">
        <v>15618</v>
      </c>
      <c r="B497" s="8" t="s">
        <v>15619</v>
      </c>
      <c r="C497" s="8" t="s">
        <v>1865</v>
      </c>
      <c r="D497" s="8" t="str">
        <f>"9789175196442"</f>
        <v>9789175196442</v>
      </c>
    </row>
    <row r="498" spans="1:4" x14ac:dyDescent="0.25">
      <c r="A498" s="7" t="s">
        <v>12921</v>
      </c>
      <c r="B498" s="8" t="s">
        <v>12914</v>
      </c>
      <c r="C498" s="8" t="s">
        <v>12712</v>
      </c>
      <c r="D498" s="8" t="str">
        <f>"9783428449347"</f>
        <v>9783428449347</v>
      </c>
    </row>
    <row r="499" spans="1:4" x14ac:dyDescent="0.25">
      <c r="A499" s="7" t="s">
        <v>12931</v>
      </c>
      <c r="B499" s="8" t="s">
        <v>12914</v>
      </c>
      <c r="C499" s="8" t="s">
        <v>12712</v>
      </c>
      <c r="D499" s="8" t="str">
        <f>"9783428452248"</f>
        <v>9783428452248</v>
      </c>
    </row>
    <row r="500" spans="1:4" x14ac:dyDescent="0.25">
      <c r="A500" s="7" t="s">
        <v>14106</v>
      </c>
      <c r="B500" s="8" t="s">
        <v>14107</v>
      </c>
      <c r="C500" s="8" t="s">
        <v>993</v>
      </c>
      <c r="D500" s="8" t="str">
        <f>"9783839466346"</f>
        <v>9783839466346</v>
      </c>
    </row>
    <row r="501" spans="1:4" x14ac:dyDescent="0.25">
      <c r="A501" s="7" t="s">
        <v>14632</v>
      </c>
      <c r="B501" s="8" t="s">
        <v>14633</v>
      </c>
      <c r="C501" s="8" t="s">
        <v>1865</v>
      </c>
      <c r="D501" s="8" t="str">
        <f>"9789179290603"</f>
        <v>9789179290603</v>
      </c>
    </row>
    <row r="502" spans="1:4" x14ac:dyDescent="0.25">
      <c r="A502" s="7" t="s">
        <v>9102</v>
      </c>
      <c r="B502" s="8" t="s">
        <v>9103</v>
      </c>
      <c r="C502" s="8" t="s">
        <v>2273</v>
      </c>
      <c r="D502" s="8" t="str">
        <f>"9783030780401"</f>
        <v>9783030780401</v>
      </c>
    </row>
    <row r="503" spans="1:4" ht="30" x14ac:dyDescent="0.25">
      <c r="A503" s="7" t="s">
        <v>8980</v>
      </c>
      <c r="B503" s="8" t="s">
        <v>8981</v>
      </c>
      <c r="C503" s="8" t="s">
        <v>2273</v>
      </c>
      <c r="D503" s="8" t="str">
        <f>"9783030845148"</f>
        <v>9783030845148</v>
      </c>
    </row>
    <row r="504" spans="1:4" x14ac:dyDescent="0.25">
      <c r="A504" s="7" t="s">
        <v>596</v>
      </c>
      <c r="B504" s="8" t="s">
        <v>597</v>
      </c>
      <c r="C504" s="8" t="s">
        <v>562</v>
      </c>
      <c r="D504" s="8" t="str">
        <f>"9780822392699"</f>
        <v>9780822392699</v>
      </c>
    </row>
    <row r="505" spans="1:4" x14ac:dyDescent="0.25">
      <c r="A505" s="7" t="s">
        <v>14352</v>
      </c>
      <c r="B505" s="8" t="s">
        <v>14353</v>
      </c>
      <c r="C505" s="8" t="s">
        <v>1879</v>
      </c>
      <c r="D505" s="8" t="str">
        <f>"9781800643642"</f>
        <v>9781800643642</v>
      </c>
    </row>
    <row r="506" spans="1:4" x14ac:dyDescent="0.25">
      <c r="A506" s="7" t="s">
        <v>1052</v>
      </c>
      <c r="B506" s="8" t="s">
        <v>1054</v>
      </c>
      <c r="C506" s="8" t="s">
        <v>1053</v>
      </c>
      <c r="D506" s="8" t="str">
        <f>"9780870819704"</f>
        <v>9780870819704</v>
      </c>
    </row>
    <row r="507" spans="1:4" x14ac:dyDescent="0.25">
      <c r="A507" s="7" t="s">
        <v>10709</v>
      </c>
      <c r="B507" s="8" t="s">
        <v>10710</v>
      </c>
      <c r="C507" s="8" t="s">
        <v>562</v>
      </c>
      <c r="D507" s="8" t="str">
        <f>"9781478092339"</f>
        <v>9781478092339</v>
      </c>
    </row>
    <row r="508" spans="1:4" ht="30" x14ac:dyDescent="0.25">
      <c r="A508" s="7" t="s">
        <v>7748</v>
      </c>
      <c r="B508" s="8" t="s">
        <v>7749</v>
      </c>
      <c r="C508" s="8" t="s">
        <v>993</v>
      </c>
      <c r="D508" s="8" t="str">
        <f>"9783839433881"</f>
        <v>9783839433881</v>
      </c>
    </row>
    <row r="509" spans="1:4" x14ac:dyDescent="0.25">
      <c r="A509" s="7" t="s">
        <v>539</v>
      </c>
      <c r="B509" s="8" t="s">
        <v>540</v>
      </c>
      <c r="C509" s="8" t="s">
        <v>316</v>
      </c>
      <c r="D509" s="8" t="str">
        <f>"9783110306897"</f>
        <v>9783110306897</v>
      </c>
    </row>
    <row r="510" spans="1:4" x14ac:dyDescent="0.25">
      <c r="A510" s="7" t="s">
        <v>10307</v>
      </c>
      <c r="B510" s="8" t="s">
        <v>10308</v>
      </c>
      <c r="C510" s="8" t="s">
        <v>993</v>
      </c>
      <c r="D510" s="8" t="str">
        <f>"9783839448441"</f>
        <v>9783839448441</v>
      </c>
    </row>
    <row r="511" spans="1:4" ht="30" x14ac:dyDescent="0.25">
      <c r="A511" s="7" t="s">
        <v>8419</v>
      </c>
      <c r="B511" s="8" t="s">
        <v>8420</v>
      </c>
      <c r="C511" s="8" t="s">
        <v>993</v>
      </c>
      <c r="D511" s="8" t="str">
        <f>"9783839453155"</f>
        <v>9783839453155</v>
      </c>
    </row>
    <row r="512" spans="1:4" x14ac:dyDescent="0.25">
      <c r="A512" s="7" t="s">
        <v>4419</v>
      </c>
      <c r="B512" s="8" t="s">
        <v>4420</v>
      </c>
      <c r="C512" s="8" t="s">
        <v>562</v>
      </c>
      <c r="D512" s="8" t="str">
        <f>"9781478003359"</f>
        <v>9781478003359</v>
      </c>
    </row>
    <row r="513" spans="1:4" x14ac:dyDescent="0.25">
      <c r="A513" s="7" t="s">
        <v>932</v>
      </c>
      <c r="B513" s="8" t="s">
        <v>3</v>
      </c>
      <c r="C513" s="8" t="s">
        <v>316</v>
      </c>
      <c r="D513" s="8" t="str">
        <f>"9783110404951"</f>
        <v>9783110404951</v>
      </c>
    </row>
    <row r="514" spans="1:4" ht="30" x14ac:dyDescent="0.25">
      <c r="A514" s="7" t="s">
        <v>7073</v>
      </c>
      <c r="B514" s="8" t="s">
        <v>7074</v>
      </c>
      <c r="C514" s="8" t="s">
        <v>355</v>
      </c>
      <c r="D514" s="8" t="str">
        <f>"9783110641042"</f>
        <v>9783110641042</v>
      </c>
    </row>
    <row r="515" spans="1:4" x14ac:dyDescent="0.25">
      <c r="A515" s="7" t="s">
        <v>12183</v>
      </c>
      <c r="B515" s="8" t="s">
        <v>11408</v>
      </c>
      <c r="C515" s="8" t="s">
        <v>355</v>
      </c>
      <c r="D515" s="8" t="str">
        <f>"9783486769265"</f>
        <v>9783486769265</v>
      </c>
    </row>
    <row r="516" spans="1:4" x14ac:dyDescent="0.25">
      <c r="A516" s="7" t="s">
        <v>5580</v>
      </c>
      <c r="B516" s="8" t="s">
        <v>5581</v>
      </c>
      <c r="C516" s="8" t="s">
        <v>2273</v>
      </c>
      <c r="D516" s="8" t="str">
        <f>"9783030626624"</f>
        <v>9783030626624</v>
      </c>
    </row>
    <row r="517" spans="1:4" ht="30" x14ac:dyDescent="0.25">
      <c r="A517" s="7" t="s">
        <v>4925</v>
      </c>
      <c r="B517" s="8" t="s">
        <v>4926</v>
      </c>
      <c r="C517" s="8" t="s">
        <v>1865</v>
      </c>
      <c r="D517" s="8" t="str">
        <f>"9789179298951"</f>
        <v>9789179298951</v>
      </c>
    </row>
    <row r="518" spans="1:4" x14ac:dyDescent="0.25">
      <c r="A518" s="7" t="s">
        <v>4992</v>
      </c>
      <c r="B518" s="8" t="s">
        <v>11</v>
      </c>
      <c r="C518" s="8" t="s">
        <v>355</v>
      </c>
      <c r="D518" s="8" t="str">
        <f>"9783110634822"</f>
        <v>9783110634822</v>
      </c>
    </row>
    <row r="519" spans="1:4" ht="30" x14ac:dyDescent="0.25">
      <c r="A519" s="7" t="s">
        <v>7068</v>
      </c>
      <c r="B519" s="8" t="s">
        <v>7069</v>
      </c>
      <c r="C519" s="8" t="s">
        <v>329</v>
      </c>
      <c r="D519" s="8" t="str">
        <f>"9789048535002"</f>
        <v>9789048535002</v>
      </c>
    </row>
    <row r="520" spans="1:4" x14ac:dyDescent="0.25">
      <c r="A520" s="7" t="s">
        <v>14255</v>
      </c>
      <c r="B520" s="8" t="s">
        <v>14256</v>
      </c>
      <c r="C520" s="8" t="s">
        <v>2273</v>
      </c>
      <c r="D520" s="8" t="str">
        <f>"9783031239960"</f>
        <v>9783031239960</v>
      </c>
    </row>
    <row r="521" spans="1:4" ht="30" x14ac:dyDescent="0.25">
      <c r="A521" s="7" t="s">
        <v>4097</v>
      </c>
      <c r="B521" s="8" t="s">
        <v>4098</v>
      </c>
      <c r="C521" s="8" t="s">
        <v>1879</v>
      </c>
      <c r="D521" s="8" t="str">
        <f>"9781783744961"</f>
        <v>9781783744961</v>
      </c>
    </row>
    <row r="522" spans="1:4" x14ac:dyDescent="0.25">
      <c r="A522" s="7" t="s">
        <v>9802</v>
      </c>
      <c r="B522" s="8" t="s">
        <v>9803</v>
      </c>
      <c r="C522" s="8" t="s">
        <v>993</v>
      </c>
      <c r="D522" s="8" t="str">
        <f>"9783839404980"</f>
        <v>9783839404980</v>
      </c>
    </row>
    <row r="523" spans="1:4" ht="30" x14ac:dyDescent="0.25">
      <c r="A523" s="7" t="s">
        <v>14866</v>
      </c>
      <c r="B523" s="8" t="s">
        <v>14867</v>
      </c>
      <c r="C523" s="8" t="s">
        <v>1865</v>
      </c>
      <c r="D523" s="8" t="str">
        <f>"9789185895953"</f>
        <v>9789185895953</v>
      </c>
    </row>
    <row r="524" spans="1:4" ht="30" x14ac:dyDescent="0.25">
      <c r="A524" s="7" t="s">
        <v>14890</v>
      </c>
      <c r="B524" s="8" t="s">
        <v>14891</v>
      </c>
      <c r="C524" s="8" t="s">
        <v>1865</v>
      </c>
      <c r="D524" s="8" t="str">
        <f>"9789175192376"</f>
        <v>9789175192376</v>
      </c>
    </row>
    <row r="525" spans="1:4" x14ac:dyDescent="0.25">
      <c r="A525" s="7" t="s">
        <v>3600</v>
      </c>
      <c r="B525" s="8" t="s">
        <v>3601</v>
      </c>
      <c r="C525" s="8" t="s">
        <v>1865</v>
      </c>
      <c r="D525" s="8" t="str">
        <f>"9789176853733"</f>
        <v>9789176853733</v>
      </c>
    </row>
    <row r="526" spans="1:4" x14ac:dyDescent="0.25">
      <c r="A526" s="7" t="s">
        <v>7218</v>
      </c>
      <c r="B526" s="8" t="s">
        <v>7058</v>
      </c>
      <c r="C526" s="8" t="s">
        <v>355</v>
      </c>
      <c r="D526" s="8" t="str">
        <f>"9783110499001"</f>
        <v>9783110499001</v>
      </c>
    </row>
    <row r="527" spans="1:4" x14ac:dyDescent="0.25">
      <c r="A527" s="7" t="s">
        <v>1340</v>
      </c>
      <c r="B527" s="8" t="s">
        <v>161</v>
      </c>
      <c r="C527" s="8" t="s">
        <v>1332</v>
      </c>
      <c r="D527" s="8" t="str">
        <f>"9781780404660"</f>
        <v>9781780404660</v>
      </c>
    </row>
    <row r="528" spans="1:4" x14ac:dyDescent="0.25">
      <c r="A528" s="7" t="s">
        <v>2524</v>
      </c>
      <c r="B528" s="8" t="s">
        <v>2525</v>
      </c>
      <c r="C528" s="8" t="s">
        <v>1865</v>
      </c>
      <c r="D528" s="8" t="str">
        <f>"9789176858950"</f>
        <v>9789176858950</v>
      </c>
    </row>
    <row r="529" spans="1:4" ht="30" x14ac:dyDescent="0.25">
      <c r="A529" s="7" t="s">
        <v>4904</v>
      </c>
      <c r="B529" s="8" t="s">
        <v>4905</v>
      </c>
      <c r="C529" s="8" t="s">
        <v>1865</v>
      </c>
      <c r="D529" s="8" t="str">
        <f>"9789179298982"</f>
        <v>9789179298982</v>
      </c>
    </row>
    <row r="530" spans="1:4" x14ac:dyDescent="0.25">
      <c r="A530" s="7" t="s">
        <v>5542</v>
      </c>
      <c r="B530" s="8" t="s">
        <v>5543</v>
      </c>
      <c r="C530" s="8" t="s">
        <v>1865</v>
      </c>
      <c r="D530" s="8" t="str">
        <f>"9789179297534"</f>
        <v>9789179297534</v>
      </c>
    </row>
    <row r="531" spans="1:4" x14ac:dyDescent="0.25">
      <c r="A531" s="7" t="s">
        <v>15950</v>
      </c>
      <c r="B531" s="8" t="s">
        <v>15951</v>
      </c>
      <c r="C531" s="8" t="s">
        <v>1865</v>
      </c>
      <c r="D531" s="8" t="str">
        <f>"9789175196299"</f>
        <v>9789175196299</v>
      </c>
    </row>
    <row r="532" spans="1:4" x14ac:dyDescent="0.25">
      <c r="A532" s="7" t="s">
        <v>690</v>
      </c>
      <c r="B532" s="8" t="s">
        <v>691</v>
      </c>
      <c r="C532" s="8" t="s">
        <v>316</v>
      </c>
      <c r="D532" s="8" t="str">
        <f>"9783110324860"</f>
        <v>9783110324860</v>
      </c>
    </row>
    <row r="533" spans="1:4" ht="30" x14ac:dyDescent="0.25">
      <c r="A533" s="7" t="s">
        <v>5512</v>
      </c>
      <c r="B533" s="8" t="s">
        <v>5513</v>
      </c>
      <c r="C533" s="8" t="s">
        <v>2273</v>
      </c>
      <c r="D533" s="8" t="str">
        <f>"9783030469511"</f>
        <v>9783030469511</v>
      </c>
    </row>
    <row r="534" spans="1:4" x14ac:dyDescent="0.25">
      <c r="A534" s="7" t="s">
        <v>12381</v>
      </c>
      <c r="B534" s="8" t="s">
        <v>12382</v>
      </c>
      <c r="C534" s="8" t="s">
        <v>2273</v>
      </c>
      <c r="D534" s="8" t="str">
        <f>"9783031043338"</f>
        <v>9783031043338</v>
      </c>
    </row>
    <row r="535" spans="1:4" ht="30" x14ac:dyDescent="0.25">
      <c r="A535" s="7" t="s">
        <v>16399</v>
      </c>
      <c r="B535" s="8" t="s">
        <v>16400</v>
      </c>
      <c r="C535" s="8" t="s">
        <v>329</v>
      </c>
      <c r="D535" s="8" t="str">
        <f>"9789400601055"</f>
        <v>9789400601055</v>
      </c>
    </row>
    <row r="536" spans="1:4" x14ac:dyDescent="0.25">
      <c r="A536" s="7" t="s">
        <v>6117</v>
      </c>
      <c r="B536" s="8" t="s">
        <v>6118</v>
      </c>
      <c r="C536" s="8" t="s">
        <v>2273</v>
      </c>
      <c r="D536" s="8" t="str">
        <f>"9783319914008"</f>
        <v>9783319914008</v>
      </c>
    </row>
    <row r="537" spans="1:4" x14ac:dyDescent="0.25">
      <c r="A537" s="7" t="s">
        <v>11195</v>
      </c>
      <c r="B537" s="8" t="s">
        <v>11196</v>
      </c>
      <c r="C537" s="8" t="s">
        <v>316</v>
      </c>
      <c r="D537" s="8" t="str">
        <f>"9783111729107"</f>
        <v>9783111729107</v>
      </c>
    </row>
    <row r="538" spans="1:4" x14ac:dyDescent="0.25">
      <c r="A538" s="7" t="s">
        <v>11390</v>
      </c>
      <c r="B538" s="8" t="s">
        <v>11391</v>
      </c>
      <c r="C538" s="8" t="s">
        <v>355</v>
      </c>
      <c r="D538" s="8" t="str">
        <f>"9783110628548"</f>
        <v>9783110628548</v>
      </c>
    </row>
    <row r="539" spans="1:4" x14ac:dyDescent="0.25">
      <c r="A539" s="7" t="s">
        <v>5502</v>
      </c>
      <c r="B539" s="8" t="s">
        <v>5503</v>
      </c>
      <c r="C539" s="8" t="s">
        <v>1036</v>
      </c>
      <c r="D539" s="8" t="str">
        <f>"9789027261601"</f>
        <v>9789027261601</v>
      </c>
    </row>
    <row r="540" spans="1:4" ht="30" x14ac:dyDescent="0.25">
      <c r="A540" s="7" t="s">
        <v>7041</v>
      </c>
      <c r="B540" s="8" t="s">
        <v>7042</v>
      </c>
      <c r="C540" s="8" t="s">
        <v>355</v>
      </c>
      <c r="D540" s="8" t="str">
        <f>"9783110655582"</f>
        <v>9783110655582</v>
      </c>
    </row>
    <row r="541" spans="1:4" x14ac:dyDescent="0.25">
      <c r="A541" s="7" t="s">
        <v>14016</v>
      </c>
      <c r="B541" s="8" t="s">
        <v>14017</v>
      </c>
      <c r="C541" s="8" t="s">
        <v>13997</v>
      </c>
      <c r="D541" s="8" t="str">
        <f>"9789566095200"</f>
        <v>9789566095200</v>
      </c>
    </row>
    <row r="542" spans="1:4" ht="30" x14ac:dyDescent="0.25">
      <c r="A542" s="7" t="s">
        <v>5685</v>
      </c>
      <c r="B542" s="8" t="s">
        <v>5686</v>
      </c>
      <c r="C542" s="8" t="s">
        <v>2273</v>
      </c>
      <c r="D542" s="8" t="str">
        <f>"9783319511597"</f>
        <v>9783319511597</v>
      </c>
    </row>
    <row r="543" spans="1:4" x14ac:dyDescent="0.25">
      <c r="A543" s="7" t="s">
        <v>15483</v>
      </c>
      <c r="B543" s="8" t="s">
        <v>15484</v>
      </c>
      <c r="C543" s="8" t="s">
        <v>1865</v>
      </c>
      <c r="D543" s="8" t="str">
        <f>"9789176857922"</f>
        <v>9789176857922</v>
      </c>
    </row>
    <row r="544" spans="1:4" x14ac:dyDescent="0.25">
      <c r="A544" s="7" t="s">
        <v>14596</v>
      </c>
      <c r="B544" s="8" t="s">
        <v>14597</v>
      </c>
      <c r="C544" s="8" t="s">
        <v>1865</v>
      </c>
      <c r="D544" s="8" t="str">
        <f>"9789179292430"</f>
        <v>9789179292430</v>
      </c>
    </row>
    <row r="545" spans="1:4" x14ac:dyDescent="0.25">
      <c r="A545" s="7" t="s">
        <v>6603</v>
      </c>
      <c r="B545" s="8" t="s">
        <v>6604</v>
      </c>
      <c r="C545" s="8" t="s">
        <v>1879</v>
      </c>
      <c r="D545" s="8" t="str">
        <f>"9781800640610"</f>
        <v>9781800640610</v>
      </c>
    </row>
    <row r="546" spans="1:4" x14ac:dyDescent="0.25">
      <c r="A546" s="7" t="s">
        <v>946</v>
      </c>
      <c r="B546" s="8" t="s">
        <v>947</v>
      </c>
      <c r="C546" s="8" t="s">
        <v>355</v>
      </c>
      <c r="D546" s="8" t="str">
        <f>"9783110410228"</f>
        <v>9783110410228</v>
      </c>
    </row>
    <row r="547" spans="1:4" ht="30" x14ac:dyDescent="0.25">
      <c r="A547" s="7" t="s">
        <v>8286</v>
      </c>
      <c r="B547" s="8" t="s">
        <v>8287</v>
      </c>
      <c r="C547" s="8" t="s">
        <v>993</v>
      </c>
      <c r="D547" s="8" t="str">
        <f>"9783839456934"</f>
        <v>9783839456934</v>
      </c>
    </row>
    <row r="548" spans="1:4" x14ac:dyDescent="0.25">
      <c r="A548" s="7" t="s">
        <v>779</v>
      </c>
      <c r="B548" s="8" t="s">
        <v>780</v>
      </c>
      <c r="C548" s="8" t="s">
        <v>355</v>
      </c>
      <c r="D548" s="8" t="str">
        <f>"9783486858846"</f>
        <v>9783486858846</v>
      </c>
    </row>
    <row r="549" spans="1:4" ht="30" x14ac:dyDescent="0.25">
      <c r="A549" s="7" t="s">
        <v>6550</v>
      </c>
      <c r="B549" s="8" t="s">
        <v>6551</v>
      </c>
      <c r="C549" s="8" t="s">
        <v>5134</v>
      </c>
      <c r="D549" s="8" t="str">
        <f>"9783662622155"</f>
        <v>9783662622155</v>
      </c>
    </row>
    <row r="550" spans="1:4" x14ac:dyDescent="0.25">
      <c r="A550" s="7" t="s">
        <v>10148</v>
      </c>
      <c r="B550" s="8" t="s">
        <v>10149</v>
      </c>
      <c r="C550" s="8" t="s">
        <v>993</v>
      </c>
      <c r="D550" s="8" t="str">
        <f>"9783839440520"</f>
        <v>9783839440520</v>
      </c>
    </row>
    <row r="551" spans="1:4" ht="30" x14ac:dyDescent="0.25">
      <c r="A551" s="7" t="s">
        <v>13126</v>
      </c>
      <c r="B551" s="8" t="s">
        <v>185</v>
      </c>
      <c r="C551" s="8" t="s">
        <v>12712</v>
      </c>
      <c r="D551" s="8" t="str">
        <f>"9783428572939"</f>
        <v>9783428572939</v>
      </c>
    </row>
    <row r="552" spans="1:4" ht="45" x14ac:dyDescent="0.25">
      <c r="A552" s="7" t="s">
        <v>13124</v>
      </c>
      <c r="B552" s="8" t="s">
        <v>13125</v>
      </c>
      <c r="C552" s="8" t="s">
        <v>12712</v>
      </c>
      <c r="D552" s="8" t="str">
        <f>"9783428572922"</f>
        <v>9783428572922</v>
      </c>
    </row>
    <row r="553" spans="1:4" x14ac:dyDescent="0.25">
      <c r="A553" s="7" t="s">
        <v>1513</v>
      </c>
      <c r="B553" s="8" t="s">
        <v>1514</v>
      </c>
      <c r="C553" s="8" t="s">
        <v>1345</v>
      </c>
      <c r="D553" s="8" t="str">
        <f>"9783862192212"</f>
        <v>9783862192212</v>
      </c>
    </row>
    <row r="554" spans="1:4" x14ac:dyDescent="0.25">
      <c r="A554" s="7" t="s">
        <v>12932</v>
      </c>
      <c r="B554" s="8" t="s">
        <v>12896</v>
      </c>
      <c r="C554" s="8" t="s">
        <v>12712</v>
      </c>
      <c r="D554" s="8" t="str">
        <f>"9783428452293"</f>
        <v>9783428452293</v>
      </c>
    </row>
    <row r="555" spans="1:4" ht="45" x14ac:dyDescent="0.25">
      <c r="A555" s="7" t="s">
        <v>1095</v>
      </c>
      <c r="B555" s="8" t="s">
        <v>1096</v>
      </c>
      <c r="C555" s="8" t="s">
        <v>316</v>
      </c>
      <c r="D555" s="8" t="str">
        <f>"9783110893533"</f>
        <v>9783110893533</v>
      </c>
    </row>
    <row r="556" spans="1:4" x14ac:dyDescent="0.25">
      <c r="A556" s="7" t="s">
        <v>503</v>
      </c>
      <c r="B556" s="8" t="s">
        <v>445</v>
      </c>
      <c r="C556" s="8" t="s">
        <v>355</v>
      </c>
      <c r="D556" s="8" t="str">
        <f>"9783110269598"</f>
        <v>9783110269598</v>
      </c>
    </row>
    <row r="557" spans="1:4" x14ac:dyDescent="0.25">
      <c r="A557" s="7" t="s">
        <v>9127</v>
      </c>
      <c r="B557" s="8" t="s">
        <v>9128</v>
      </c>
      <c r="C557" s="8" t="s">
        <v>1053</v>
      </c>
      <c r="D557" s="8" t="str">
        <f>"9781607326700"</f>
        <v>9781607326700</v>
      </c>
    </row>
    <row r="558" spans="1:4" x14ac:dyDescent="0.25">
      <c r="A558" s="7" t="s">
        <v>10120</v>
      </c>
      <c r="B558" s="8" t="s">
        <v>10121</v>
      </c>
      <c r="C558" s="8" t="s">
        <v>993</v>
      </c>
      <c r="D558" s="8" t="str">
        <f>"9783839435861"</f>
        <v>9783839435861</v>
      </c>
    </row>
    <row r="559" spans="1:4" x14ac:dyDescent="0.25">
      <c r="A559" s="7" t="s">
        <v>7388</v>
      </c>
      <c r="B559" s="8" t="s">
        <v>7389</v>
      </c>
      <c r="C559" s="8" t="s">
        <v>993</v>
      </c>
      <c r="D559" s="8" t="str">
        <f>"9783839448021"</f>
        <v>9783839448021</v>
      </c>
    </row>
    <row r="560" spans="1:4" x14ac:dyDescent="0.25">
      <c r="A560" s="7" t="s">
        <v>2280</v>
      </c>
      <c r="B560" s="8" t="s">
        <v>2281</v>
      </c>
      <c r="C560" s="8" t="s">
        <v>355</v>
      </c>
      <c r="D560" s="8" t="str">
        <f>"9783110438291"</f>
        <v>9783110438291</v>
      </c>
    </row>
    <row r="561" spans="1:4" x14ac:dyDescent="0.25">
      <c r="A561" s="7" t="s">
        <v>16300</v>
      </c>
      <c r="B561" s="8" t="s">
        <v>16301</v>
      </c>
      <c r="C561" s="8" t="s">
        <v>1865</v>
      </c>
      <c r="D561" s="8" t="str">
        <f>"9789175196435"</f>
        <v>9789175196435</v>
      </c>
    </row>
    <row r="562" spans="1:4" ht="30" x14ac:dyDescent="0.25">
      <c r="A562" s="7" t="s">
        <v>9010</v>
      </c>
      <c r="B562" s="8" t="s">
        <v>9011</v>
      </c>
      <c r="C562" s="8" t="s">
        <v>562</v>
      </c>
      <c r="D562" s="8" t="str">
        <f>"9781478091820"</f>
        <v>9781478091820</v>
      </c>
    </row>
    <row r="563" spans="1:4" x14ac:dyDescent="0.25">
      <c r="A563" s="7" t="s">
        <v>11870</v>
      </c>
      <c r="B563" s="8" t="s">
        <v>11871</v>
      </c>
      <c r="C563" s="8" t="s">
        <v>355</v>
      </c>
      <c r="D563" s="8" t="str">
        <f>"9783035622164"</f>
        <v>9783035622164</v>
      </c>
    </row>
    <row r="564" spans="1:4" ht="30" x14ac:dyDescent="0.25">
      <c r="A564" s="7" t="s">
        <v>14341</v>
      </c>
      <c r="B564" s="8" t="s">
        <v>14342</v>
      </c>
      <c r="C564" s="8" t="s">
        <v>9602</v>
      </c>
      <c r="D564" s="8" t="str">
        <f>"9781800106321"</f>
        <v>9781800106321</v>
      </c>
    </row>
    <row r="565" spans="1:4" x14ac:dyDescent="0.25">
      <c r="A565" s="7" t="s">
        <v>3004</v>
      </c>
      <c r="B565" s="8" t="s">
        <v>3005</v>
      </c>
      <c r="C565" s="8" t="s">
        <v>1962</v>
      </c>
      <c r="D565" s="8" t="str">
        <f>"9782759226221"</f>
        <v>9782759226221</v>
      </c>
    </row>
    <row r="566" spans="1:4" ht="30" x14ac:dyDescent="0.25">
      <c r="A566" s="7" t="s">
        <v>13881</v>
      </c>
      <c r="B566" s="8" t="s">
        <v>13882</v>
      </c>
      <c r="C566" s="8" t="s">
        <v>5484</v>
      </c>
      <c r="D566" s="8" t="str">
        <f>"9781484288535"</f>
        <v>9781484288535</v>
      </c>
    </row>
    <row r="567" spans="1:4" x14ac:dyDescent="0.25">
      <c r="A567" s="7" t="s">
        <v>9837</v>
      </c>
      <c r="B567" s="8" t="s">
        <v>9838</v>
      </c>
      <c r="C567" s="8" t="s">
        <v>993</v>
      </c>
      <c r="D567" s="8" t="str">
        <f>"9783839406236"</f>
        <v>9783839406236</v>
      </c>
    </row>
    <row r="568" spans="1:4" x14ac:dyDescent="0.25">
      <c r="A568" s="7" t="s">
        <v>4029</v>
      </c>
      <c r="B568" s="8" t="s">
        <v>4030</v>
      </c>
      <c r="C568" s="8" t="s">
        <v>355</v>
      </c>
      <c r="D568" s="8" t="str">
        <f>"9783110594188"</f>
        <v>9783110594188</v>
      </c>
    </row>
    <row r="569" spans="1:4" x14ac:dyDescent="0.25">
      <c r="A569" s="7" t="s">
        <v>11872</v>
      </c>
      <c r="B569" s="8" t="s">
        <v>3833</v>
      </c>
      <c r="C569" s="8" t="s">
        <v>355</v>
      </c>
      <c r="D569" s="8" t="str">
        <f>"9783110742503"</f>
        <v>9783110742503</v>
      </c>
    </row>
    <row r="570" spans="1:4" x14ac:dyDescent="0.25">
      <c r="A570" s="7" t="s">
        <v>9535</v>
      </c>
      <c r="B570" s="8" t="s">
        <v>9536</v>
      </c>
      <c r="C570" s="8" t="s">
        <v>1224</v>
      </c>
      <c r="D570" s="8" t="str">
        <f>"9781644698846"</f>
        <v>9781644698846</v>
      </c>
    </row>
    <row r="571" spans="1:4" x14ac:dyDescent="0.25">
      <c r="A571" s="7" t="s">
        <v>13990</v>
      </c>
      <c r="B571" s="8" t="s">
        <v>13991</v>
      </c>
      <c r="C571" s="8" t="s">
        <v>2273</v>
      </c>
      <c r="D571" s="8" t="str">
        <f>"9783031186677"</f>
        <v>9783031186677</v>
      </c>
    </row>
    <row r="572" spans="1:4" ht="30" x14ac:dyDescent="0.25">
      <c r="A572" s="7" t="s">
        <v>12261</v>
      </c>
      <c r="B572" s="8" t="s">
        <v>12262</v>
      </c>
      <c r="C572" s="8" t="s">
        <v>993</v>
      </c>
      <c r="D572" s="8" t="str">
        <f>"9783839455845"</f>
        <v>9783839455845</v>
      </c>
    </row>
    <row r="573" spans="1:4" x14ac:dyDescent="0.25">
      <c r="A573" s="7" t="s">
        <v>10342</v>
      </c>
      <c r="B573" s="8" t="s">
        <v>10343</v>
      </c>
      <c r="C573" s="8" t="s">
        <v>993</v>
      </c>
      <c r="D573" s="8" t="str">
        <f>"9783839449776"</f>
        <v>9783839449776</v>
      </c>
    </row>
    <row r="574" spans="1:4" ht="30" x14ac:dyDescent="0.25">
      <c r="A574" s="7" t="s">
        <v>6935</v>
      </c>
      <c r="B574" s="8" t="s">
        <v>6936</v>
      </c>
      <c r="C574" s="8" t="s">
        <v>1865</v>
      </c>
      <c r="D574" s="8" t="str">
        <f>"9789179296322"</f>
        <v>9789179296322</v>
      </c>
    </row>
    <row r="575" spans="1:4" ht="45" x14ac:dyDescent="0.25">
      <c r="A575" s="7" t="s">
        <v>12414</v>
      </c>
      <c r="B575" s="8" t="s">
        <v>12415</v>
      </c>
      <c r="C575" s="8" t="s">
        <v>355</v>
      </c>
      <c r="D575" s="8" t="str">
        <f>"9783110760804"</f>
        <v>9783110760804</v>
      </c>
    </row>
    <row r="576" spans="1:4" ht="30" x14ac:dyDescent="0.25">
      <c r="A576" s="7" t="s">
        <v>7734</v>
      </c>
      <c r="B576" s="8" t="s">
        <v>7735</v>
      </c>
      <c r="C576" s="8" t="s">
        <v>993</v>
      </c>
      <c r="D576" s="8" t="str">
        <f>"9783839431351"</f>
        <v>9783839431351</v>
      </c>
    </row>
    <row r="577" spans="1:4" x14ac:dyDescent="0.25">
      <c r="A577" s="7" t="s">
        <v>8467</v>
      </c>
      <c r="B577" s="8" t="s">
        <v>8468</v>
      </c>
      <c r="C577" s="8" t="s">
        <v>993</v>
      </c>
      <c r="D577" s="8" t="str">
        <f>"9783839451168"</f>
        <v>9783839451168</v>
      </c>
    </row>
    <row r="578" spans="1:4" ht="30" x14ac:dyDescent="0.25">
      <c r="A578" s="7" t="s">
        <v>14636</v>
      </c>
      <c r="B578" s="8" t="s">
        <v>14637</v>
      </c>
      <c r="C578" s="8" t="s">
        <v>1865</v>
      </c>
      <c r="D578" s="8" t="str">
        <f>"9789179292607"</f>
        <v>9789179292607</v>
      </c>
    </row>
    <row r="579" spans="1:4" x14ac:dyDescent="0.25">
      <c r="A579" s="7" t="s">
        <v>7905</v>
      </c>
      <c r="B579" s="8" t="s">
        <v>7906</v>
      </c>
      <c r="C579" s="8" t="s">
        <v>2073</v>
      </c>
      <c r="D579" s="8" t="str">
        <f>"9781438485744"</f>
        <v>9781438485744</v>
      </c>
    </row>
    <row r="580" spans="1:4" x14ac:dyDescent="0.25">
      <c r="A580" s="7" t="s">
        <v>10166</v>
      </c>
      <c r="B580" s="8" t="s">
        <v>10167</v>
      </c>
      <c r="C580" s="8" t="s">
        <v>993</v>
      </c>
      <c r="D580" s="8" t="str">
        <f>"9783839442142"</f>
        <v>9783839442142</v>
      </c>
    </row>
    <row r="581" spans="1:4" x14ac:dyDescent="0.25">
      <c r="A581" s="7" t="s">
        <v>2581</v>
      </c>
      <c r="B581" s="8" t="s">
        <v>2582</v>
      </c>
      <c r="C581" s="8" t="s">
        <v>1342</v>
      </c>
      <c r="D581" s="8" t="str">
        <f>"9789633860847"</f>
        <v>9789633860847</v>
      </c>
    </row>
    <row r="582" spans="1:4" x14ac:dyDescent="0.25">
      <c r="A582" s="7" t="s">
        <v>824</v>
      </c>
      <c r="B582" s="8" t="s">
        <v>825</v>
      </c>
      <c r="C582" s="8" t="s">
        <v>562</v>
      </c>
      <c r="D582" s="8" t="str">
        <f>"9780822377467"</f>
        <v>9780822377467</v>
      </c>
    </row>
    <row r="583" spans="1:4" x14ac:dyDescent="0.25">
      <c r="A583" s="7" t="s">
        <v>10092</v>
      </c>
      <c r="B583" s="8" t="s">
        <v>8532</v>
      </c>
      <c r="C583" s="8" t="s">
        <v>993</v>
      </c>
      <c r="D583" s="8" t="str">
        <f>"9783839432969"</f>
        <v>9783839432969</v>
      </c>
    </row>
    <row r="584" spans="1:4" x14ac:dyDescent="0.25">
      <c r="A584" s="7" t="s">
        <v>3582</v>
      </c>
      <c r="B584" s="8" t="s">
        <v>3583</v>
      </c>
      <c r="C584" s="8" t="s">
        <v>1865</v>
      </c>
      <c r="D584" s="8" t="str">
        <f>"9789176853573"</f>
        <v>9789176853573</v>
      </c>
    </row>
    <row r="585" spans="1:4" x14ac:dyDescent="0.25">
      <c r="A585" s="7" t="s">
        <v>9226</v>
      </c>
      <c r="B585" s="8" t="s">
        <v>9227</v>
      </c>
      <c r="C585" s="8" t="s">
        <v>4882</v>
      </c>
      <c r="D585" s="8" t="str">
        <f>"9781789624953"</f>
        <v>9781789624953</v>
      </c>
    </row>
    <row r="586" spans="1:4" ht="30" x14ac:dyDescent="0.25">
      <c r="A586" s="7" t="s">
        <v>14267</v>
      </c>
      <c r="B586" s="8" t="s">
        <v>14268</v>
      </c>
      <c r="C586" s="8" t="s">
        <v>2274</v>
      </c>
      <c r="D586" s="8" t="str">
        <f>"9783031264382"</f>
        <v>9783031264382</v>
      </c>
    </row>
    <row r="587" spans="1:4" ht="30" x14ac:dyDescent="0.25">
      <c r="A587" s="7" t="s">
        <v>6599</v>
      </c>
      <c r="B587" s="8" t="s">
        <v>6600</v>
      </c>
      <c r="C587" s="8" t="s">
        <v>2273</v>
      </c>
      <c r="D587" s="8" t="str">
        <f>"9783030699789"</f>
        <v>9783030699789</v>
      </c>
    </row>
    <row r="588" spans="1:4" x14ac:dyDescent="0.25">
      <c r="A588" s="7" t="s">
        <v>14158</v>
      </c>
      <c r="B588" s="8" t="s">
        <v>14159</v>
      </c>
      <c r="C588" s="8" t="s">
        <v>2274</v>
      </c>
      <c r="D588" s="8" t="str">
        <f>"9789811963759"</f>
        <v>9789811963759</v>
      </c>
    </row>
    <row r="589" spans="1:4" x14ac:dyDescent="0.25">
      <c r="A589" s="7" t="s">
        <v>13510</v>
      </c>
      <c r="B589" s="8" t="s">
        <v>13437</v>
      </c>
      <c r="C589" s="8" t="s">
        <v>2274</v>
      </c>
      <c r="D589" s="8" t="str">
        <f>"9789811928796"</f>
        <v>9789811928796</v>
      </c>
    </row>
    <row r="590" spans="1:4" ht="30" x14ac:dyDescent="0.25">
      <c r="A590" s="7" t="s">
        <v>13526</v>
      </c>
      <c r="B590" s="8" t="s">
        <v>13527</v>
      </c>
      <c r="C590" s="8" t="s">
        <v>2273</v>
      </c>
      <c r="D590" s="8" t="str">
        <f>"9783031113710"</f>
        <v>9783031113710</v>
      </c>
    </row>
    <row r="591" spans="1:4" x14ac:dyDescent="0.25">
      <c r="A591" s="7" t="s">
        <v>8026</v>
      </c>
      <c r="B591" s="8" t="s">
        <v>7996</v>
      </c>
      <c r="C591" s="8" t="s">
        <v>1962</v>
      </c>
      <c r="D591" s="8" t="str">
        <f>"9782759232543"</f>
        <v>9782759232543</v>
      </c>
    </row>
    <row r="592" spans="1:4" ht="45" x14ac:dyDescent="0.25">
      <c r="A592" s="7" t="s">
        <v>1062</v>
      </c>
      <c r="B592" s="8" t="s">
        <v>1063</v>
      </c>
      <c r="C592" s="8" t="s">
        <v>316</v>
      </c>
      <c r="D592" s="8" t="str">
        <f>"9783110906486"</f>
        <v>9783110906486</v>
      </c>
    </row>
    <row r="593" spans="1:4" ht="30" x14ac:dyDescent="0.25">
      <c r="A593" s="7" t="s">
        <v>6675</v>
      </c>
      <c r="B593" s="8" t="s">
        <v>6676</v>
      </c>
      <c r="C593" s="8" t="s">
        <v>2273</v>
      </c>
      <c r="D593" s="8" t="str">
        <f>"9783030564179"</f>
        <v>9783030564179</v>
      </c>
    </row>
    <row r="594" spans="1:4" x14ac:dyDescent="0.25">
      <c r="A594" s="7" t="s">
        <v>8221</v>
      </c>
      <c r="B594" s="8" t="s">
        <v>8194</v>
      </c>
      <c r="C594" s="8" t="s">
        <v>993</v>
      </c>
      <c r="D594" s="8" t="str">
        <f>"9783839453223"</f>
        <v>9783839453223</v>
      </c>
    </row>
    <row r="595" spans="1:4" ht="30" x14ac:dyDescent="0.25">
      <c r="A595" s="7" t="s">
        <v>8609</v>
      </c>
      <c r="B595" s="8" t="s">
        <v>8610</v>
      </c>
      <c r="C595" s="8" t="s">
        <v>5134</v>
      </c>
      <c r="D595" s="8" t="str">
        <f>"9783662639290"</f>
        <v>9783662639290</v>
      </c>
    </row>
    <row r="596" spans="1:4" x14ac:dyDescent="0.25">
      <c r="A596" s="7" t="s">
        <v>13604</v>
      </c>
      <c r="B596" s="8" t="s">
        <v>8610</v>
      </c>
      <c r="C596" s="8" t="s">
        <v>5134</v>
      </c>
      <c r="D596" s="8" t="str">
        <f>"9783662660416"</f>
        <v>9783662660416</v>
      </c>
    </row>
    <row r="597" spans="1:4" ht="30" x14ac:dyDescent="0.25">
      <c r="A597" s="7" t="s">
        <v>4361</v>
      </c>
      <c r="B597" s="8" t="s">
        <v>4362</v>
      </c>
      <c r="C597" s="8" t="s">
        <v>1865</v>
      </c>
      <c r="D597" s="8" t="str">
        <f>"9789176852385"</f>
        <v>9789176852385</v>
      </c>
    </row>
    <row r="598" spans="1:4" x14ac:dyDescent="0.25">
      <c r="A598" s="7" t="s">
        <v>2123</v>
      </c>
      <c r="B598" s="8" t="s">
        <v>2097</v>
      </c>
      <c r="C598" s="8" t="s">
        <v>1345</v>
      </c>
      <c r="D598" s="8" t="str">
        <f>"9783737600071"</f>
        <v>9783737600071</v>
      </c>
    </row>
    <row r="599" spans="1:4" x14ac:dyDescent="0.25">
      <c r="A599" s="7" t="s">
        <v>2096</v>
      </c>
      <c r="B599" s="8" t="s">
        <v>2097</v>
      </c>
      <c r="C599" s="8" t="s">
        <v>1345</v>
      </c>
      <c r="D599" s="8" t="str">
        <f>"9783862192410"</f>
        <v>9783862192410</v>
      </c>
    </row>
    <row r="600" spans="1:4" ht="30" x14ac:dyDescent="0.25">
      <c r="A600" s="7" t="s">
        <v>3634</v>
      </c>
      <c r="B600" s="8" t="s">
        <v>3635</v>
      </c>
      <c r="C600" s="8" t="s">
        <v>1865</v>
      </c>
      <c r="D600" s="8" t="str">
        <f>"9789176854518"</f>
        <v>9789176854518</v>
      </c>
    </row>
    <row r="601" spans="1:4" x14ac:dyDescent="0.25">
      <c r="A601" s="7" t="s">
        <v>15768</v>
      </c>
      <c r="B601" s="8" t="s">
        <v>4642</v>
      </c>
      <c r="C601" s="8" t="s">
        <v>1865</v>
      </c>
      <c r="D601" s="8" t="str">
        <f>"9789176853955"</f>
        <v>9789176853955</v>
      </c>
    </row>
    <row r="602" spans="1:4" ht="30" x14ac:dyDescent="0.25">
      <c r="A602" s="7" t="s">
        <v>15671</v>
      </c>
      <c r="B602" s="8" t="s">
        <v>15672</v>
      </c>
      <c r="C602" s="8" t="s">
        <v>1865</v>
      </c>
      <c r="D602" s="8" t="str">
        <f>"9789173939089"</f>
        <v>9789173939089</v>
      </c>
    </row>
    <row r="603" spans="1:4" ht="30" x14ac:dyDescent="0.25">
      <c r="A603" s="7" t="s">
        <v>15762</v>
      </c>
      <c r="B603" s="8" t="s">
        <v>15763</v>
      </c>
      <c r="C603" s="8" t="s">
        <v>1865</v>
      </c>
      <c r="D603" s="8" t="str">
        <f>"9789175199580"</f>
        <v>9789175199580</v>
      </c>
    </row>
    <row r="604" spans="1:4" x14ac:dyDescent="0.25">
      <c r="A604" s="7" t="s">
        <v>2834</v>
      </c>
      <c r="B604" s="8" t="s">
        <v>2835</v>
      </c>
      <c r="C604" s="8" t="s">
        <v>1865</v>
      </c>
      <c r="D604" s="8" t="str">
        <f>"9789176856512"</f>
        <v>9789176856512</v>
      </c>
    </row>
    <row r="605" spans="1:4" x14ac:dyDescent="0.25">
      <c r="A605" s="7" t="s">
        <v>15488</v>
      </c>
      <c r="B605" s="8" t="s">
        <v>3893</v>
      </c>
      <c r="C605" s="8" t="s">
        <v>1865</v>
      </c>
      <c r="D605" s="8" t="str">
        <f>"9789176856291"</f>
        <v>9789176856291</v>
      </c>
    </row>
    <row r="606" spans="1:4" x14ac:dyDescent="0.25">
      <c r="A606" s="7" t="s">
        <v>15511</v>
      </c>
      <c r="B606" s="8" t="s">
        <v>15512</v>
      </c>
      <c r="C606" s="8" t="s">
        <v>1865</v>
      </c>
      <c r="D606" s="8" t="str">
        <f>"9789175197388"</f>
        <v>9789175197388</v>
      </c>
    </row>
    <row r="607" spans="1:4" x14ac:dyDescent="0.25">
      <c r="A607" s="7" t="s">
        <v>2793</v>
      </c>
      <c r="B607" s="8" t="s">
        <v>2794</v>
      </c>
      <c r="C607" s="8" t="s">
        <v>1865</v>
      </c>
      <c r="D607" s="8" t="str">
        <f>"9789176857113"</f>
        <v>9789176857113</v>
      </c>
    </row>
    <row r="608" spans="1:4" ht="30" x14ac:dyDescent="0.25">
      <c r="A608" s="7" t="s">
        <v>5355</v>
      </c>
      <c r="B608" s="8" t="s">
        <v>5356</v>
      </c>
      <c r="C608" s="8" t="s">
        <v>1865</v>
      </c>
      <c r="D608" s="8" t="str">
        <f>"9789179298029"</f>
        <v>9789179298029</v>
      </c>
    </row>
    <row r="609" spans="1:4" x14ac:dyDescent="0.25">
      <c r="A609" s="7" t="s">
        <v>15659</v>
      </c>
      <c r="B609" s="8" t="s">
        <v>15660</v>
      </c>
      <c r="C609" s="8" t="s">
        <v>1865</v>
      </c>
      <c r="D609" s="8" t="str">
        <f>"9789175199436"</f>
        <v>9789175199436</v>
      </c>
    </row>
    <row r="610" spans="1:4" x14ac:dyDescent="0.25">
      <c r="A610" s="7" t="s">
        <v>4078</v>
      </c>
      <c r="B610" s="8" t="s">
        <v>4079</v>
      </c>
      <c r="C610" s="8" t="s">
        <v>355</v>
      </c>
      <c r="D610" s="8" t="str">
        <f>"9783110562088"</f>
        <v>9783110562088</v>
      </c>
    </row>
    <row r="611" spans="1:4" x14ac:dyDescent="0.25">
      <c r="A611" s="7" t="s">
        <v>12804</v>
      </c>
      <c r="B611" s="8" t="s">
        <v>12791</v>
      </c>
      <c r="C611" s="8" t="s">
        <v>12712</v>
      </c>
      <c r="D611" s="8" t="str">
        <f>"9783428425495"</f>
        <v>9783428425495</v>
      </c>
    </row>
    <row r="612" spans="1:4" x14ac:dyDescent="0.25">
      <c r="A612" s="7" t="s">
        <v>16334</v>
      </c>
      <c r="B612" s="8" t="s">
        <v>16335</v>
      </c>
      <c r="C612" s="8" t="s">
        <v>1865</v>
      </c>
      <c r="D612" s="8" t="str">
        <f>"9789185831432"</f>
        <v>9789185831432</v>
      </c>
    </row>
    <row r="613" spans="1:4" ht="30" x14ac:dyDescent="0.25">
      <c r="A613" s="7" t="s">
        <v>3375</v>
      </c>
      <c r="B613" s="8" t="s">
        <v>3376</v>
      </c>
      <c r="C613" s="8" t="s">
        <v>1865</v>
      </c>
      <c r="D613" s="8" t="str">
        <f>"9789176854075"</f>
        <v>9789176854075</v>
      </c>
    </row>
    <row r="614" spans="1:4" x14ac:dyDescent="0.25">
      <c r="A614" s="7" t="s">
        <v>7298</v>
      </c>
      <c r="B614" s="8" t="s">
        <v>7299</v>
      </c>
      <c r="C614" s="8" t="s">
        <v>2273</v>
      </c>
      <c r="D614" s="8" t="str">
        <f>"9783030701765"</f>
        <v>9783030701765</v>
      </c>
    </row>
    <row r="615" spans="1:4" x14ac:dyDescent="0.25">
      <c r="A615" s="7" t="s">
        <v>15014</v>
      </c>
      <c r="B615" s="8" t="s">
        <v>15015</v>
      </c>
      <c r="C615" s="8" t="s">
        <v>1865</v>
      </c>
      <c r="D615" s="8" t="str">
        <f>"9789176857861"</f>
        <v>9789176857861</v>
      </c>
    </row>
    <row r="616" spans="1:4" x14ac:dyDescent="0.25">
      <c r="A616" s="7" t="s">
        <v>6144</v>
      </c>
      <c r="B616" s="8" t="s">
        <v>6145</v>
      </c>
      <c r="C616" s="8" t="s">
        <v>2273</v>
      </c>
      <c r="D616" s="8" t="str">
        <f>"9783319323947"</f>
        <v>9783319323947</v>
      </c>
    </row>
    <row r="617" spans="1:4" ht="30" x14ac:dyDescent="0.25">
      <c r="A617" s="7" t="s">
        <v>15987</v>
      </c>
      <c r="B617" s="8" t="s">
        <v>15988</v>
      </c>
      <c r="C617" s="8" t="s">
        <v>1865</v>
      </c>
      <c r="D617" s="8" t="str">
        <f>"9789176857595"</f>
        <v>9789176857595</v>
      </c>
    </row>
    <row r="618" spans="1:4" x14ac:dyDescent="0.25">
      <c r="A618" s="7" t="s">
        <v>9587</v>
      </c>
      <c r="B618" s="8" t="s">
        <v>9588</v>
      </c>
      <c r="C618" s="8" t="s">
        <v>2273</v>
      </c>
      <c r="D618" s="8" t="str">
        <f>"9783030945770"</f>
        <v>9783030945770</v>
      </c>
    </row>
    <row r="619" spans="1:4" ht="30" x14ac:dyDescent="0.25">
      <c r="A619" s="7" t="s">
        <v>7820</v>
      </c>
      <c r="B619" s="8" t="s">
        <v>7821</v>
      </c>
      <c r="C619" s="8" t="s">
        <v>4245</v>
      </c>
      <c r="D619" s="8" t="str">
        <f>"9789811543272"</f>
        <v>9789811543272</v>
      </c>
    </row>
    <row r="620" spans="1:4" x14ac:dyDescent="0.25">
      <c r="A620" s="7" t="s">
        <v>10632</v>
      </c>
      <c r="B620" s="8" t="s">
        <v>10633</v>
      </c>
      <c r="C620" s="8" t="s">
        <v>2273</v>
      </c>
      <c r="D620" s="8" t="str">
        <f>"9783030975562"</f>
        <v>9783030975562</v>
      </c>
    </row>
    <row r="621" spans="1:4" ht="30" x14ac:dyDescent="0.25">
      <c r="A621" s="7" t="s">
        <v>11850</v>
      </c>
      <c r="B621" s="8" t="s">
        <v>11851</v>
      </c>
      <c r="C621" s="8" t="s">
        <v>355</v>
      </c>
      <c r="D621" s="8" t="str">
        <f>"9783110720105"</f>
        <v>9783110720105</v>
      </c>
    </row>
    <row r="622" spans="1:4" x14ac:dyDescent="0.25">
      <c r="A622" s="7" t="s">
        <v>2795</v>
      </c>
      <c r="B622" s="8" t="s">
        <v>2796</v>
      </c>
      <c r="C622" s="8" t="s">
        <v>1865</v>
      </c>
      <c r="D622" s="8" t="str">
        <f>"9789176857021"</f>
        <v>9789176857021</v>
      </c>
    </row>
    <row r="623" spans="1:4" x14ac:dyDescent="0.25">
      <c r="A623" s="7" t="s">
        <v>15151</v>
      </c>
      <c r="B623" s="8" t="s">
        <v>15152</v>
      </c>
      <c r="C623" s="8" t="s">
        <v>1865</v>
      </c>
      <c r="D623" s="8" t="str">
        <f>"9789175194370"</f>
        <v>9789175194370</v>
      </c>
    </row>
    <row r="624" spans="1:4" x14ac:dyDescent="0.25">
      <c r="A624" s="7" t="s">
        <v>3322</v>
      </c>
      <c r="B624" s="8" t="s">
        <v>3323</v>
      </c>
      <c r="C624" s="8" t="s">
        <v>1865</v>
      </c>
      <c r="D624" s="8" t="str">
        <f>"9789176854389"</f>
        <v>9789176854389</v>
      </c>
    </row>
    <row r="625" spans="1:4" x14ac:dyDescent="0.25">
      <c r="A625" s="7" t="s">
        <v>6532</v>
      </c>
      <c r="B625" s="8" t="s">
        <v>6533</v>
      </c>
      <c r="C625" s="8" t="s">
        <v>1865</v>
      </c>
      <c r="D625" s="8" t="str">
        <f>"9789179297060"</f>
        <v>9789179297060</v>
      </c>
    </row>
    <row r="626" spans="1:4" x14ac:dyDescent="0.25">
      <c r="A626" s="7" t="s">
        <v>15027</v>
      </c>
      <c r="B626" s="8" t="s">
        <v>15028</v>
      </c>
      <c r="C626" s="8" t="s">
        <v>1865</v>
      </c>
      <c r="D626" s="8" t="str">
        <f>"9789176855126"</f>
        <v>9789176855126</v>
      </c>
    </row>
    <row r="627" spans="1:4" x14ac:dyDescent="0.25">
      <c r="A627" s="7" t="s">
        <v>4084</v>
      </c>
      <c r="B627" s="8" t="s">
        <v>4085</v>
      </c>
      <c r="C627" s="8" t="s">
        <v>316</v>
      </c>
      <c r="D627" s="8" t="str">
        <f>"9781501504914"</f>
        <v>9781501504914</v>
      </c>
    </row>
    <row r="628" spans="1:4" ht="30" x14ac:dyDescent="0.25">
      <c r="A628" s="7" t="s">
        <v>9882</v>
      </c>
      <c r="B628" s="8" t="s">
        <v>4210</v>
      </c>
      <c r="C628" s="8" t="s">
        <v>993</v>
      </c>
      <c r="D628" s="8" t="str">
        <f>"9783839407363"</f>
        <v>9783839407363</v>
      </c>
    </row>
    <row r="629" spans="1:4" ht="30" x14ac:dyDescent="0.25">
      <c r="A629" s="7" t="s">
        <v>9952</v>
      </c>
      <c r="B629" s="8" t="s">
        <v>9953</v>
      </c>
      <c r="C629" s="8" t="s">
        <v>993</v>
      </c>
      <c r="D629" s="8" t="str">
        <f>"9783839408605"</f>
        <v>9783839408605</v>
      </c>
    </row>
    <row r="630" spans="1:4" x14ac:dyDescent="0.25">
      <c r="A630" s="7" t="s">
        <v>992</v>
      </c>
      <c r="B630" s="8" t="s">
        <v>994</v>
      </c>
      <c r="C630" s="8" t="s">
        <v>993</v>
      </c>
      <c r="D630" s="8" t="str">
        <f>"9783839426432"</f>
        <v>9783839426432</v>
      </c>
    </row>
    <row r="631" spans="1:4" x14ac:dyDescent="0.25">
      <c r="A631" s="7" t="s">
        <v>3965</v>
      </c>
      <c r="B631" s="8" t="s">
        <v>3966</v>
      </c>
      <c r="C631" s="8" t="s">
        <v>355</v>
      </c>
      <c r="D631" s="8" t="str">
        <f>"9783110538724"</f>
        <v>9783110538724</v>
      </c>
    </row>
    <row r="632" spans="1:4" ht="30" x14ac:dyDescent="0.25">
      <c r="A632" s="7" t="s">
        <v>7478</v>
      </c>
      <c r="B632" s="8" t="s">
        <v>7479</v>
      </c>
      <c r="C632" s="8" t="s">
        <v>993</v>
      </c>
      <c r="D632" s="8" t="str">
        <f>"9783839434833"</f>
        <v>9783839434833</v>
      </c>
    </row>
    <row r="633" spans="1:4" ht="30" x14ac:dyDescent="0.25">
      <c r="A633" s="7" t="s">
        <v>2436</v>
      </c>
      <c r="B633" s="8" t="s">
        <v>2437</v>
      </c>
      <c r="C633" s="8" t="s">
        <v>1865</v>
      </c>
      <c r="D633" s="8" t="str">
        <f>"9789176859704"</f>
        <v>9789176859704</v>
      </c>
    </row>
    <row r="634" spans="1:4" x14ac:dyDescent="0.25">
      <c r="A634" s="7" t="s">
        <v>7423</v>
      </c>
      <c r="B634" s="8" t="s">
        <v>5529</v>
      </c>
      <c r="C634" s="8" t="s">
        <v>993</v>
      </c>
      <c r="D634" s="8" t="str">
        <f>"9783839433324"</f>
        <v>9783839433324</v>
      </c>
    </row>
    <row r="635" spans="1:4" x14ac:dyDescent="0.25">
      <c r="A635" s="7" t="s">
        <v>5589</v>
      </c>
      <c r="B635" s="8" t="s">
        <v>5590</v>
      </c>
      <c r="C635" s="8" t="s">
        <v>2273</v>
      </c>
      <c r="D635" s="8" t="str">
        <f>"9783030615123"</f>
        <v>9783030615123</v>
      </c>
    </row>
    <row r="636" spans="1:4" x14ac:dyDescent="0.25">
      <c r="A636" s="7" t="s">
        <v>2450</v>
      </c>
      <c r="B636" s="8" t="s">
        <v>2451</v>
      </c>
      <c r="C636" s="8" t="s">
        <v>1865</v>
      </c>
      <c r="D636" s="8" t="str">
        <f>"9789176859872"</f>
        <v>9789176859872</v>
      </c>
    </row>
    <row r="637" spans="1:4" x14ac:dyDescent="0.25">
      <c r="A637" s="7" t="s">
        <v>9060</v>
      </c>
      <c r="B637" s="8" t="s">
        <v>9061</v>
      </c>
      <c r="C637" s="8" t="s">
        <v>562</v>
      </c>
      <c r="D637" s="8" t="str">
        <f>"9781478091776"</f>
        <v>9781478091776</v>
      </c>
    </row>
    <row r="638" spans="1:4" ht="30" x14ac:dyDescent="0.25">
      <c r="A638" s="7" t="s">
        <v>9738</v>
      </c>
      <c r="B638" s="8" t="s">
        <v>9739</v>
      </c>
      <c r="C638" s="8" t="s">
        <v>993</v>
      </c>
      <c r="D638" s="8" t="str">
        <f>"9783839403143"</f>
        <v>9783839403143</v>
      </c>
    </row>
    <row r="639" spans="1:4" ht="30" x14ac:dyDescent="0.25">
      <c r="A639" s="7" t="s">
        <v>12031</v>
      </c>
      <c r="B639" s="8" t="s">
        <v>12032</v>
      </c>
      <c r="C639" s="8" t="s">
        <v>355</v>
      </c>
      <c r="D639" s="8" t="str">
        <f>"9783110701876"</f>
        <v>9783110701876</v>
      </c>
    </row>
    <row r="640" spans="1:4" ht="30" x14ac:dyDescent="0.25">
      <c r="A640" s="7" t="s">
        <v>4457</v>
      </c>
      <c r="B640" s="8" t="s">
        <v>4458</v>
      </c>
      <c r="C640" s="8" t="s">
        <v>1865</v>
      </c>
      <c r="D640" s="8" t="str">
        <f>"9789176850749"</f>
        <v>9789176850749</v>
      </c>
    </row>
    <row r="641" spans="1:4" x14ac:dyDescent="0.25">
      <c r="A641" s="7" t="s">
        <v>5384</v>
      </c>
      <c r="B641" s="8" t="s">
        <v>5385</v>
      </c>
      <c r="C641" s="8" t="s">
        <v>1865</v>
      </c>
      <c r="D641" s="8" t="str">
        <f>"9789179297695"</f>
        <v>9789179297695</v>
      </c>
    </row>
    <row r="642" spans="1:4" ht="30" x14ac:dyDescent="0.25">
      <c r="A642" s="7" t="s">
        <v>10603</v>
      </c>
      <c r="B642" s="8" t="s">
        <v>10604</v>
      </c>
      <c r="C642" s="8" t="s">
        <v>993</v>
      </c>
      <c r="D642" s="8" t="str">
        <f>"9783839461785"</f>
        <v>9783839461785</v>
      </c>
    </row>
    <row r="643" spans="1:4" x14ac:dyDescent="0.25">
      <c r="A643" s="7" t="s">
        <v>6211</v>
      </c>
      <c r="B643" s="8" t="s">
        <v>6212</v>
      </c>
      <c r="C643" s="8" t="s">
        <v>2273</v>
      </c>
      <c r="D643" s="8" t="str">
        <f>"9783319285214"</f>
        <v>9783319285214</v>
      </c>
    </row>
    <row r="644" spans="1:4" x14ac:dyDescent="0.25">
      <c r="A644" s="7" t="s">
        <v>6908</v>
      </c>
      <c r="B644" s="8" t="s">
        <v>6909</v>
      </c>
      <c r="C644" s="8" t="s">
        <v>2273</v>
      </c>
      <c r="D644" s="8" t="str">
        <f>"9783030669775"</f>
        <v>9783030669775</v>
      </c>
    </row>
    <row r="645" spans="1:4" x14ac:dyDescent="0.25">
      <c r="A645" s="7" t="s">
        <v>9030</v>
      </c>
      <c r="B645" s="8" t="s">
        <v>9031</v>
      </c>
      <c r="C645" s="8" t="s">
        <v>4245</v>
      </c>
      <c r="D645" s="8" t="str">
        <f>"9789811666919"</f>
        <v>9789811666919</v>
      </c>
    </row>
    <row r="646" spans="1:4" x14ac:dyDescent="0.25">
      <c r="A646" s="7" t="s">
        <v>6947</v>
      </c>
      <c r="B646" s="8" t="s">
        <v>6948</v>
      </c>
      <c r="C646" s="8" t="s">
        <v>4245</v>
      </c>
      <c r="D646" s="8" t="str">
        <f>"9789811609725"</f>
        <v>9789811609725</v>
      </c>
    </row>
    <row r="647" spans="1:4" x14ac:dyDescent="0.25">
      <c r="A647" s="7" t="s">
        <v>5438</v>
      </c>
      <c r="B647" s="8" t="s">
        <v>5439</v>
      </c>
      <c r="C647" s="8" t="s">
        <v>5064</v>
      </c>
      <c r="D647" s="8" t="str">
        <f>"9789813271807"</f>
        <v>9789813271807</v>
      </c>
    </row>
    <row r="648" spans="1:4" x14ac:dyDescent="0.25">
      <c r="A648" s="7" t="s">
        <v>4551</v>
      </c>
      <c r="B648" s="8" t="s">
        <v>4552</v>
      </c>
      <c r="C648" s="8" t="s">
        <v>1865</v>
      </c>
      <c r="D648" s="8" t="str">
        <f>"9789176850435"</f>
        <v>9789176850435</v>
      </c>
    </row>
    <row r="649" spans="1:4" x14ac:dyDescent="0.25">
      <c r="A649" s="7" t="s">
        <v>15717</v>
      </c>
      <c r="B649" s="8" t="s">
        <v>15718</v>
      </c>
      <c r="C649" s="8" t="s">
        <v>1865</v>
      </c>
      <c r="D649" s="8" t="str">
        <f>"9789176859018"</f>
        <v>9789176859018</v>
      </c>
    </row>
    <row r="650" spans="1:4" x14ac:dyDescent="0.25">
      <c r="A650" s="7" t="s">
        <v>4622</v>
      </c>
      <c r="B650" s="8" t="s">
        <v>4623</v>
      </c>
      <c r="C650" s="8" t="s">
        <v>1865</v>
      </c>
      <c r="D650" s="8" t="str">
        <f>"9789176850480"</f>
        <v>9789176850480</v>
      </c>
    </row>
    <row r="651" spans="1:4" x14ac:dyDescent="0.25">
      <c r="A651" s="7" t="s">
        <v>4727</v>
      </c>
      <c r="B651" s="8" t="s">
        <v>4728</v>
      </c>
      <c r="C651" s="8" t="s">
        <v>1865</v>
      </c>
      <c r="D651" s="8" t="str">
        <f>"9789176850015"</f>
        <v>9789176850015</v>
      </c>
    </row>
    <row r="652" spans="1:4" x14ac:dyDescent="0.25">
      <c r="A652" s="7" t="s">
        <v>3010</v>
      </c>
      <c r="B652" s="8" t="s">
        <v>3011</v>
      </c>
      <c r="C652" s="8" t="s">
        <v>1865</v>
      </c>
      <c r="D652" s="8" t="str">
        <f>"9789176855935"</f>
        <v>9789176855935</v>
      </c>
    </row>
    <row r="653" spans="1:4" ht="30" x14ac:dyDescent="0.25">
      <c r="A653" s="7" t="s">
        <v>15288</v>
      </c>
      <c r="B653" s="8" t="s">
        <v>15289</v>
      </c>
      <c r="C653" s="8" t="s">
        <v>1865</v>
      </c>
      <c r="D653" s="8" t="str">
        <f>"9789175199542"</f>
        <v>9789175199542</v>
      </c>
    </row>
    <row r="654" spans="1:4" x14ac:dyDescent="0.25">
      <c r="A654" s="7" t="s">
        <v>16015</v>
      </c>
      <c r="B654" s="8" t="s">
        <v>16016</v>
      </c>
      <c r="C654" s="8" t="s">
        <v>1865</v>
      </c>
      <c r="D654" s="8" t="str">
        <f>"9789175191386"</f>
        <v>9789175191386</v>
      </c>
    </row>
    <row r="655" spans="1:4" x14ac:dyDescent="0.25">
      <c r="A655" s="7" t="s">
        <v>15307</v>
      </c>
      <c r="B655" s="8" t="s">
        <v>15308</v>
      </c>
      <c r="C655" s="8" t="s">
        <v>1865</v>
      </c>
      <c r="D655" s="8" t="str">
        <f>"9789175191003"</f>
        <v>9789175191003</v>
      </c>
    </row>
    <row r="656" spans="1:4" ht="30" x14ac:dyDescent="0.25">
      <c r="A656" s="7" t="s">
        <v>14616</v>
      </c>
      <c r="B656" s="8" t="s">
        <v>14617</v>
      </c>
      <c r="C656" s="8" t="s">
        <v>1865</v>
      </c>
      <c r="D656" s="8" t="str">
        <f>"9789179293628"</f>
        <v>9789179293628</v>
      </c>
    </row>
    <row r="657" spans="1:4" x14ac:dyDescent="0.25">
      <c r="A657" s="7" t="s">
        <v>15494</v>
      </c>
      <c r="B657" s="8" t="s">
        <v>15495</v>
      </c>
      <c r="C657" s="8" t="s">
        <v>1865</v>
      </c>
      <c r="D657" s="8" t="str">
        <f>"9789180750547"</f>
        <v>9789180750547</v>
      </c>
    </row>
    <row r="658" spans="1:4" ht="30" x14ac:dyDescent="0.25">
      <c r="A658" s="7" t="s">
        <v>15802</v>
      </c>
      <c r="B658" s="8" t="s">
        <v>15803</v>
      </c>
      <c r="C658" s="8" t="s">
        <v>1865</v>
      </c>
      <c r="D658" s="8" t="str">
        <f>"9789175194394"</f>
        <v>9789175194394</v>
      </c>
    </row>
    <row r="659" spans="1:4" ht="30" x14ac:dyDescent="0.25">
      <c r="A659" s="7" t="s">
        <v>15016</v>
      </c>
      <c r="B659" s="8" t="s">
        <v>15017</v>
      </c>
      <c r="C659" s="8" t="s">
        <v>1865</v>
      </c>
      <c r="D659" s="8" t="str">
        <f>"9789176857274"</f>
        <v>9789176857274</v>
      </c>
    </row>
    <row r="660" spans="1:4" ht="30" x14ac:dyDescent="0.25">
      <c r="A660" s="7" t="s">
        <v>6847</v>
      </c>
      <c r="B660" s="8" t="s">
        <v>6848</v>
      </c>
      <c r="C660" s="8" t="s">
        <v>1865</v>
      </c>
      <c r="D660" s="8" t="str">
        <f>"9789179297022"</f>
        <v>9789179297022</v>
      </c>
    </row>
    <row r="661" spans="1:4" x14ac:dyDescent="0.25">
      <c r="A661" s="7" t="s">
        <v>5500</v>
      </c>
      <c r="B661" s="8" t="s">
        <v>5501</v>
      </c>
      <c r="C661" s="8" t="s">
        <v>1036</v>
      </c>
      <c r="D661" s="8" t="str">
        <f>"9789027262493"</f>
        <v>9789027262493</v>
      </c>
    </row>
    <row r="662" spans="1:4" ht="30" x14ac:dyDescent="0.25">
      <c r="A662" s="7" t="s">
        <v>2991</v>
      </c>
      <c r="B662" s="8" t="s">
        <v>2992</v>
      </c>
      <c r="C662" s="8" t="s">
        <v>316</v>
      </c>
      <c r="D662" s="8" t="str">
        <f>"9783110488319"</f>
        <v>9783110488319</v>
      </c>
    </row>
    <row r="663" spans="1:4" x14ac:dyDescent="0.25">
      <c r="A663" s="7" t="s">
        <v>14581</v>
      </c>
      <c r="B663" s="8" t="s">
        <v>14582</v>
      </c>
      <c r="C663" s="8" t="s">
        <v>1865</v>
      </c>
      <c r="D663" s="8" t="str">
        <f>"9789179293031"</f>
        <v>9789179293031</v>
      </c>
    </row>
    <row r="664" spans="1:4" ht="30" x14ac:dyDescent="0.25">
      <c r="A664" s="7" t="s">
        <v>10212</v>
      </c>
      <c r="B664" s="8" t="s">
        <v>10213</v>
      </c>
      <c r="C664" s="8" t="s">
        <v>993</v>
      </c>
      <c r="D664" s="8" t="str">
        <f>"9783839444931"</f>
        <v>9783839444931</v>
      </c>
    </row>
    <row r="665" spans="1:4" ht="30" x14ac:dyDescent="0.25">
      <c r="A665" s="7" t="s">
        <v>13739</v>
      </c>
      <c r="B665" s="8" t="s">
        <v>12700</v>
      </c>
      <c r="C665" s="8" t="s">
        <v>993</v>
      </c>
      <c r="D665" s="8" t="str">
        <f>"9783839466353"</f>
        <v>9783839466353</v>
      </c>
    </row>
    <row r="666" spans="1:4" ht="30" x14ac:dyDescent="0.25">
      <c r="A666" s="7" t="s">
        <v>2821</v>
      </c>
      <c r="B666" s="8" t="s">
        <v>2822</v>
      </c>
      <c r="C666" s="8" t="s">
        <v>1345</v>
      </c>
      <c r="D666" s="8" t="str">
        <f>"9783737601412"</f>
        <v>9783737601412</v>
      </c>
    </row>
    <row r="667" spans="1:4" x14ac:dyDescent="0.25">
      <c r="A667" s="7" t="s">
        <v>10453</v>
      </c>
      <c r="B667" s="8" t="s">
        <v>10454</v>
      </c>
      <c r="C667" s="8" t="s">
        <v>993</v>
      </c>
      <c r="D667" s="8" t="str">
        <f>"9783839456972"</f>
        <v>9783839456972</v>
      </c>
    </row>
    <row r="668" spans="1:4" ht="30" x14ac:dyDescent="0.25">
      <c r="A668" s="7" t="s">
        <v>761</v>
      </c>
      <c r="B668" s="8" t="s">
        <v>762</v>
      </c>
      <c r="C668" s="8" t="s">
        <v>355</v>
      </c>
      <c r="D668" s="8" t="str">
        <f>"9783486707663"</f>
        <v>9783486707663</v>
      </c>
    </row>
    <row r="669" spans="1:4" x14ac:dyDescent="0.25">
      <c r="A669" s="7" t="s">
        <v>8124</v>
      </c>
      <c r="B669" s="8" t="s">
        <v>8125</v>
      </c>
      <c r="C669" s="8" t="s">
        <v>993</v>
      </c>
      <c r="D669" s="8" t="str">
        <f>"9783839442272"</f>
        <v>9783839442272</v>
      </c>
    </row>
    <row r="670" spans="1:4" x14ac:dyDescent="0.25">
      <c r="A670" s="7" t="s">
        <v>7635</v>
      </c>
      <c r="B670" s="8" t="s">
        <v>7636</v>
      </c>
      <c r="C670" s="8" t="s">
        <v>993</v>
      </c>
      <c r="D670" s="8" t="str">
        <f>"9783839417720"</f>
        <v>9783839417720</v>
      </c>
    </row>
    <row r="671" spans="1:4" ht="30" x14ac:dyDescent="0.25">
      <c r="A671" s="7" t="s">
        <v>11459</v>
      </c>
      <c r="B671" s="8" t="s">
        <v>5002</v>
      </c>
      <c r="C671" s="8" t="s">
        <v>355</v>
      </c>
      <c r="D671" s="8" t="str">
        <f>"9783110703467"</f>
        <v>9783110703467</v>
      </c>
    </row>
    <row r="672" spans="1:4" ht="30" x14ac:dyDescent="0.25">
      <c r="A672" s="7" t="s">
        <v>1004</v>
      </c>
      <c r="B672" s="8" t="s">
        <v>1005</v>
      </c>
      <c r="C672" s="8" t="s">
        <v>993</v>
      </c>
      <c r="D672" s="8" t="str">
        <f>"9783839418161"</f>
        <v>9783839418161</v>
      </c>
    </row>
    <row r="673" spans="1:4" x14ac:dyDescent="0.25">
      <c r="A673" s="7" t="s">
        <v>7411</v>
      </c>
      <c r="B673" s="8" t="s">
        <v>7412</v>
      </c>
      <c r="C673" s="8" t="s">
        <v>2273</v>
      </c>
      <c r="D673" s="8" t="str">
        <f>"9783030764456"</f>
        <v>9783030764456</v>
      </c>
    </row>
    <row r="674" spans="1:4" x14ac:dyDescent="0.25">
      <c r="A674" s="7" t="s">
        <v>3846</v>
      </c>
      <c r="B674" s="8" t="s">
        <v>3847</v>
      </c>
      <c r="C674" s="8" t="s">
        <v>355</v>
      </c>
      <c r="D674" s="8" t="str">
        <f>"9783110497656"</f>
        <v>9783110497656</v>
      </c>
    </row>
    <row r="675" spans="1:4" x14ac:dyDescent="0.25">
      <c r="A675" s="7" t="s">
        <v>7175</v>
      </c>
      <c r="B675" s="8" t="s">
        <v>7176</v>
      </c>
      <c r="C675" s="8" t="s">
        <v>355</v>
      </c>
      <c r="D675" s="8" t="str">
        <f>"9783035620252"</f>
        <v>9783035620252</v>
      </c>
    </row>
    <row r="676" spans="1:4" x14ac:dyDescent="0.25">
      <c r="A676" s="7" t="s">
        <v>8874</v>
      </c>
      <c r="B676" s="8" t="s">
        <v>8875</v>
      </c>
      <c r="C676" s="8" t="s">
        <v>1879</v>
      </c>
      <c r="D676" s="8" t="str">
        <f>"9781800640672"</f>
        <v>9781800640672</v>
      </c>
    </row>
    <row r="677" spans="1:4" ht="30" x14ac:dyDescent="0.25">
      <c r="A677" s="7" t="s">
        <v>11226</v>
      </c>
      <c r="B677" s="8" t="s">
        <v>11227</v>
      </c>
      <c r="C677" s="8" t="s">
        <v>355</v>
      </c>
      <c r="D677" s="8" t="str">
        <f>"9783110740516"</f>
        <v>9783110740516</v>
      </c>
    </row>
    <row r="678" spans="1:4" x14ac:dyDescent="0.25">
      <c r="A678" s="7" t="s">
        <v>12326</v>
      </c>
      <c r="B678" s="8" t="s">
        <v>6594</v>
      </c>
      <c r="C678" s="8" t="s">
        <v>993</v>
      </c>
      <c r="D678" s="8" t="str">
        <f>"9783839461433"</f>
        <v>9783839461433</v>
      </c>
    </row>
    <row r="679" spans="1:4" ht="30" x14ac:dyDescent="0.25">
      <c r="A679" s="7" t="s">
        <v>8376</v>
      </c>
      <c r="B679" s="8" t="s">
        <v>8377</v>
      </c>
      <c r="C679" s="8" t="s">
        <v>993</v>
      </c>
      <c r="D679" s="8" t="str">
        <f>"9783839455678"</f>
        <v>9783839455678</v>
      </c>
    </row>
    <row r="680" spans="1:4" ht="30" x14ac:dyDescent="0.25">
      <c r="A680" s="7" t="s">
        <v>10701</v>
      </c>
      <c r="B680" s="8" t="s">
        <v>10702</v>
      </c>
      <c r="C680" s="8" t="s">
        <v>5086</v>
      </c>
      <c r="D680" s="8" t="str">
        <f>"9783658363536"</f>
        <v>9783658363536</v>
      </c>
    </row>
    <row r="681" spans="1:4" ht="30" x14ac:dyDescent="0.25">
      <c r="A681" s="7" t="s">
        <v>13036</v>
      </c>
      <c r="B681" s="8" t="s">
        <v>13037</v>
      </c>
      <c r="C681" s="8" t="s">
        <v>12712</v>
      </c>
      <c r="D681" s="8" t="str">
        <f>"9783428482313"</f>
        <v>9783428482313</v>
      </c>
    </row>
    <row r="682" spans="1:4" x14ac:dyDescent="0.25">
      <c r="A682" s="7" t="s">
        <v>3008</v>
      </c>
      <c r="B682" s="8" t="s">
        <v>3009</v>
      </c>
      <c r="C682" s="8" t="s">
        <v>355</v>
      </c>
      <c r="D682" s="8" t="str">
        <f>"9783110467925"</f>
        <v>9783110467925</v>
      </c>
    </row>
    <row r="683" spans="1:4" x14ac:dyDescent="0.25">
      <c r="A683" s="7" t="s">
        <v>2094</v>
      </c>
      <c r="B683" s="8" t="s">
        <v>2095</v>
      </c>
      <c r="C683" s="8" t="s">
        <v>1345</v>
      </c>
      <c r="D683" s="8" t="str">
        <f>"9783862199495"</f>
        <v>9783862199495</v>
      </c>
    </row>
    <row r="684" spans="1:4" ht="75" x14ac:dyDescent="0.25">
      <c r="A684" s="7" t="s">
        <v>13246</v>
      </c>
      <c r="B684" s="8" t="s">
        <v>13247</v>
      </c>
      <c r="C684" s="8" t="s">
        <v>12712</v>
      </c>
      <c r="D684" s="8" t="str">
        <f>"9783428574148"</f>
        <v>9783428574148</v>
      </c>
    </row>
    <row r="685" spans="1:4" ht="60" x14ac:dyDescent="0.25">
      <c r="A685" s="7" t="s">
        <v>13253</v>
      </c>
      <c r="B685" s="8" t="s">
        <v>13254</v>
      </c>
      <c r="C685" s="8" t="s">
        <v>12712</v>
      </c>
      <c r="D685" s="8" t="str">
        <f>"9783428574193"</f>
        <v>9783428574193</v>
      </c>
    </row>
    <row r="686" spans="1:4" ht="60" x14ac:dyDescent="0.25">
      <c r="A686" s="7" t="s">
        <v>13249</v>
      </c>
      <c r="B686" s="8" t="s">
        <v>13072</v>
      </c>
      <c r="C686" s="8" t="s">
        <v>12712</v>
      </c>
      <c r="D686" s="8" t="str">
        <f>"9783428574162"</f>
        <v>9783428574162</v>
      </c>
    </row>
    <row r="687" spans="1:4" ht="60" x14ac:dyDescent="0.25">
      <c r="A687" s="7" t="s">
        <v>13248</v>
      </c>
      <c r="B687" s="8" t="s">
        <v>13072</v>
      </c>
      <c r="C687" s="8" t="s">
        <v>12712</v>
      </c>
      <c r="D687" s="8" t="str">
        <f>"9783428574155"</f>
        <v>9783428574155</v>
      </c>
    </row>
    <row r="688" spans="1:4" ht="60" x14ac:dyDescent="0.25">
      <c r="A688" s="7" t="s">
        <v>13252</v>
      </c>
      <c r="B688" s="8"/>
      <c r="C688" s="8" t="s">
        <v>12712</v>
      </c>
      <c r="D688" s="8" t="str">
        <f>"9783428574186"</f>
        <v>9783428574186</v>
      </c>
    </row>
    <row r="689" spans="1:4" ht="60" x14ac:dyDescent="0.25">
      <c r="A689" s="7" t="s">
        <v>13309</v>
      </c>
      <c r="B689" s="8" t="s">
        <v>13072</v>
      </c>
      <c r="C689" s="8" t="s">
        <v>12712</v>
      </c>
      <c r="D689" s="8" t="str">
        <f>"9783428574681"</f>
        <v>9783428574681</v>
      </c>
    </row>
    <row r="690" spans="1:4" ht="30" x14ac:dyDescent="0.25">
      <c r="A690" s="7" t="s">
        <v>1551</v>
      </c>
      <c r="B690" s="8" t="s">
        <v>1552</v>
      </c>
      <c r="C690" s="8" t="s">
        <v>1345</v>
      </c>
      <c r="D690" s="8" t="str">
        <f>"9783862192816"</f>
        <v>9783862192816</v>
      </c>
    </row>
    <row r="691" spans="1:4" x14ac:dyDescent="0.25">
      <c r="A691" s="7" t="s">
        <v>7573</v>
      </c>
      <c r="B691" s="8" t="s">
        <v>7574</v>
      </c>
      <c r="C691" s="8" t="s">
        <v>993</v>
      </c>
      <c r="D691" s="8" t="str">
        <f>"9783839416471"</f>
        <v>9783839416471</v>
      </c>
    </row>
    <row r="692" spans="1:4" ht="30" x14ac:dyDescent="0.25">
      <c r="A692" s="7" t="s">
        <v>11214</v>
      </c>
      <c r="B692" s="8" t="s">
        <v>11215</v>
      </c>
      <c r="C692" s="8" t="s">
        <v>355</v>
      </c>
      <c r="D692" s="8" t="str">
        <f>"9783110572933"</f>
        <v>9783110572933</v>
      </c>
    </row>
    <row r="693" spans="1:4" x14ac:dyDescent="0.25">
      <c r="A693" s="7" t="s">
        <v>2852</v>
      </c>
      <c r="B693" s="8" t="s">
        <v>2853</v>
      </c>
      <c r="C693" s="8" t="s">
        <v>2073</v>
      </c>
      <c r="D693" s="8" t="str">
        <f>"9781438462950"</f>
        <v>9781438462950</v>
      </c>
    </row>
    <row r="694" spans="1:4" x14ac:dyDescent="0.25">
      <c r="A694" s="7" t="s">
        <v>10736</v>
      </c>
      <c r="B694" s="8" t="s">
        <v>10737</v>
      </c>
      <c r="C694" s="8" t="s">
        <v>1876</v>
      </c>
      <c r="D694" s="8" t="str">
        <f>"9780980464870"</f>
        <v>9780980464870</v>
      </c>
    </row>
    <row r="695" spans="1:4" x14ac:dyDescent="0.25">
      <c r="A695" s="7" t="s">
        <v>10729</v>
      </c>
      <c r="B695" s="8" t="s">
        <v>10730</v>
      </c>
      <c r="C695" s="8" t="s">
        <v>1876</v>
      </c>
      <c r="D695" s="8" t="str">
        <f>"9780980361698"</f>
        <v>9780980361698</v>
      </c>
    </row>
    <row r="696" spans="1:4" x14ac:dyDescent="0.25">
      <c r="A696" s="7" t="s">
        <v>10797</v>
      </c>
      <c r="B696" s="8" t="s">
        <v>10798</v>
      </c>
      <c r="C696" s="8" t="s">
        <v>1876</v>
      </c>
      <c r="D696" s="8" t="str">
        <f>"9781925495416"</f>
        <v>9781925495416</v>
      </c>
    </row>
    <row r="697" spans="1:4" ht="60" x14ac:dyDescent="0.25">
      <c r="A697" s="7" t="s">
        <v>13133</v>
      </c>
      <c r="B697" s="8" t="s">
        <v>13134</v>
      </c>
      <c r="C697" s="8" t="s">
        <v>12712</v>
      </c>
      <c r="D697" s="8" t="str">
        <f>"9783428572991"</f>
        <v>9783428572991</v>
      </c>
    </row>
    <row r="698" spans="1:4" ht="30" x14ac:dyDescent="0.25">
      <c r="A698" s="7" t="s">
        <v>13244</v>
      </c>
      <c r="B698" s="8" t="s">
        <v>13245</v>
      </c>
      <c r="C698" s="8" t="s">
        <v>12712</v>
      </c>
      <c r="D698" s="8" t="str">
        <f>"9783428574001"</f>
        <v>9783428574001</v>
      </c>
    </row>
    <row r="699" spans="1:4" ht="30" x14ac:dyDescent="0.25">
      <c r="A699" s="7" t="s">
        <v>2351</v>
      </c>
      <c r="B699" s="8" t="s">
        <v>2352</v>
      </c>
      <c r="C699" s="8" t="s">
        <v>1345</v>
      </c>
      <c r="D699" s="8" t="str">
        <f>"9783862199877"</f>
        <v>9783862199877</v>
      </c>
    </row>
    <row r="700" spans="1:4" ht="30" x14ac:dyDescent="0.25">
      <c r="A700" s="7" t="s">
        <v>2105</v>
      </c>
      <c r="B700" s="8" t="s">
        <v>2106</v>
      </c>
      <c r="C700" s="8" t="s">
        <v>1345</v>
      </c>
      <c r="D700" s="8" t="str">
        <f>""</f>
        <v/>
      </c>
    </row>
    <row r="701" spans="1:4" ht="30" x14ac:dyDescent="0.25">
      <c r="A701" s="7" t="s">
        <v>3612</v>
      </c>
      <c r="B701" s="8" t="s">
        <v>3613</v>
      </c>
      <c r="C701" s="8" t="s">
        <v>1345</v>
      </c>
      <c r="D701" s="8" t="str">
        <f>"9783737604574"</f>
        <v>9783737604574</v>
      </c>
    </row>
    <row r="702" spans="1:4" ht="30" x14ac:dyDescent="0.25">
      <c r="A702" s="7" t="s">
        <v>14292</v>
      </c>
      <c r="B702" s="8" t="s">
        <v>14293</v>
      </c>
      <c r="C702" s="8" t="s">
        <v>5086</v>
      </c>
      <c r="D702" s="8" t="str">
        <f>"9783658406639"</f>
        <v>9783658406639</v>
      </c>
    </row>
    <row r="703" spans="1:4" x14ac:dyDescent="0.25">
      <c r="A703" s="7" t="s">
        <v>16136</v>
      </c>
      <c r="B703" s="8" t="s">
        <v>16137</v>
      </c>
      <c r="C703" s="8" t="s">
        <v>1865</v>
      </c>
      <c r="D703" s="8" t="str">
        <f>"9789175196251"</f>
        <v>9789175196251</v>
      </c>
    </row>
    <row r="704" spans="1:4" ht="30" x14ac:dyDescent="0.25">
      <c r="A704" s="7" t="s">
        <v>8249</v>
      </c>
      <c r="B704" s="8" t="s">
        <v>8250</v>
      </c>
      <c r="C704" s="8" t="s">
        <v>993</v>
      </c>
      <c r="D704" s="8" t="str">
        <f>"9783839456897"</f>
        <v>9783839456897</v>
      </c>
    </row>
    <row r="705" spans="1:4" ht="30" x14ac:dyDescent="0.25">
      <c r="A705" s="7" t="s">
        <v>6538</v>
      </c>
      <c r="B705" s="8" t="s">
        <v>6539</v>
      </c>
      <c r="C705" s="8" t="s">
        <v>993</v>
      </c>
      <c r="D705" s="8" t="str">
        <f>"9783839451892"</f>
        <v>9783839451892</v>
      </c>
    </row>
    <row r="706" spans="1:4" x14ac:dyDescent="0.25">
      <c r="A706" s="7" t="s">
        <v>8727</v>
      </c>
      <c r="B706" s="8" t="s">
        <v>8728</v>
      </c>
      <c r="C706" s="8" t="s">
        <v>329</v>
      </c>
      <c r="D706" s="8" t="str">
        <f>"9789048552900"</f>
        <v>9789048552900</v>
      </c>
    </row>
    <row r="707" spans="1:4" x14ac:dyDescent="0.25">
      <c r="A707" s="7" t="s">
        <v>10908</v>
      </c>
      <c r="B707" s="8" t="s">
        <v>10909</v>
      </c>
      <c r="C707" s="8" t="s">
        <v>316</v>
      </c>
      <c r="D707" s="8" t="str">
        <f>"9781501505133"</f>
        <v>9781501505133</v>
      </c>
    </row>
    <row r="708" spans="1:4" x14ac:dyDescent="0.25">
      <c r="A708" s="7" t="s">
        <v>4709</v>
      </c>
      <c r="B708" s="8" t="s">
        <v>4710</v>
      </c>
      <c r="C708" s="8" t="s">
        <v>4245</v>
      </c>
      <c r="D708" s="8" t="str">
        <f>"9789811384370"</f>
        <v>9789811384370</v>
      </c>
    </row>
    <row r="709" spans="1:4" x14ac:dyDescent="0.25">
      <c r="A709" s="7" t="s">
        <v>3616</v>
      </c>
      <c r="B709" s="8" t="s">
        <v>3617</v>
      </c>
      <c r="C709" s="8" t="s">
        <v>1865</v>
      </c>
      <c r="D709" s="8" t="str">
        <f>"9789176853467"</f>
        <v>9789176853467</v>
      </c>
    </row>
    <row r="710" spans="1:4" ht="30" x14ac:dyDescent="0.25">
      <c r="A710" s="7" t="s">
        <v>2138</v>
      </c>
      <c r="B710" s="8" t="s">
        <v>2139</v>
      </c>
      <c r="C710" s="8" t="s">
        <v>1865</v>
      </c>
      <c r="D710" s="8" t="str">
        <f>"9789175190617"</f>
        <v>9789175190617</v>
      </c>
    </row>
    <row r="711" spans="1:4" ht="30" x14ac:dyDescent="0.25">
      <c r="A711" s="7" t="s">
        <v>7334</v>
      </c>
      <c r="B711" s="8" t="s">
        <v>7335</v>
      </c>
      <c r="C711" s="8" t="s">
        <v>2273</v>
      </c>
      <c r="D711" s="8" t="str">
        <f>"9783030798765"</f>
        <v>9783030798765</v>
      </c>
    </row>
    <row r="712" spans="1:4" x14ac:dyDescent="0.25">
      <c r="A712" s="7" t="s">
        <v>3149</v>
      </c>
      <c r="B712" s="8" t="s">
        <v>3150</v>
      </c>
      <c r="C712" s="8" t="s">
        <v>1865</v>
      </c>
      <c r="D712" s="8" t="str">
        <f>"9789176855102"</f>
        <v>9789176855102</v>
      </c>
    </row>
    <row r="713" spans="1:4" x14ac:dyDescent="0.25">
      <c r="A713" s="7" t="s">
        <v>4518</v>
      </c>
      <c r="B713" s="8" t="s">
        <v>4519</v>
      </c>
      <c r="C713" s="8" t="s">
        <v>2273</v>
      </c>
      <c r="D713" s="8" t="str">
        <f>"9783030053185"</f>
        <v>9783030053185</v>
      </c>
    </row>
    <row r="714" spans="1:4" ht="30" x14ac:dyDescent="0.25">
      <c r="A714" s="7" t="s">
        <v>12503</v>
      </c>
      <c r="B714" s="8" t="s">
        <v>12504</v>
      </c>
      <c r="C714" s="8" t="s">
        <v>2273</v>
      </c>
      <c r="D714" s="8" t="str">
        <f>"9783031107696"</f>
        <v>9783031107696</v>
      </c>
    </row>
    <row r="715" spans="1:4" x14ac:dyDescent="0.25">
      <c r="A715" s="7" t="s">
        <v>9578</v>
      </c>
      <c r="B715" s="8" t="s">
        <v>9579</v>
      </c>
      <c r="C715" s="8" t="s">
        <v>1865</v>
      </c>
      <c r="D715" s="8" t="str">
        <f>"9789179292690"</f>
        <v>9789179292690</v>
      </c>
    </row>
    <row r="716" spans="1:4" ht="30" x14ac:dyDescent="0.25">
      <c r="A716" s="7" t="s">
        <v>4277</v>
      </c>
      <c r="B716" s="8" t="s">
        <v>4278</v>
      </c>
      <c r="C716" s="8" t="s">
        <v>1865</v>
      </c>
      <c r="D716" s="8" t="str">
        <f>"9789176851630"</f>
        <v>9789176851630</v>
      </c>
    </row>
    <row r="717" spans="1:4" x14ac:dyDescent="0.25">
      <c r="A717" s="7" t="s">
        <v>16366</v>
      </c>
      <c r="B717" s="8" t="s">
        <v>4278</v>
      </c>
      <c r="C717" s="8" t="s">
        <v>1865</v>
      </c>
      <c r="D717" s="8" t="str">
        <f>"9789175190488"</f>
        <v>9789175190488</v>
      </c>
    </row>
    <row r="718" spans="1:4" x14ac:dyDescent="0.25">
      <c r="A718" s="7" t="s">
        <v>15318</v>
      </c>
      <c r="B718" s="8" t="s">
        <v>15319</v>
      </c>
      <c r="C718" s="8" t="s">
        <v>1865</v>
      </c>
      <c r="D718" s="8" t="str">
        <f>"9789175191706"</f>
        <v>9789175191706</v>
      </c>
    </row>
    <row r="719" spans="1:4" x14ac:dyDescent="0.25">
      <c r="A719" s="7" t="s">
        <v>15234</v>
      </c>
      <c r="B719" s="8" t="s">
        <v>15235</v>
      </c>
      <c r="C719" s="8" t="s">
        <v>1865</v>
      </c>
      <c r="D719" s="8" t="str">
        <f>"9789176859186"</f>
        <v>9789176859186</v>
      </c>
    </row>
    <row r="720" spans="1:4" x14ac:dyDescent="0.25">
      <c r="A720" s="7" t="s">
        <v>15036</v>
      </c>
      <c r="B720" s="8" t="s">
        <v>15037</v>
      </c>
      <c r="C720" s="8" t="s">
        <v>1865</v>
      </c>
      <c r="D720" s="8" t="str">
        <f>"9789175196596"</f>
        <v>9789175196596</v>
      </c>
    </row>
    <row r="721" spans="1:4" ht="30" x14ac:dyDescent="0.25">
      <c r="A721" s="7" t="s">
        <v>8696</v>
      </c>
      <c r="B721" s="8" t="s">
        <v>8697</v>
      </c>
      <c r="C721" s="8" t="s">
        <v>1865</v>
      </c>
      <c r="D721" s="8" t="str">
        <f>"9789179290122"</f>
        <v>9789179290122</v>
      </c>
    </row>
    <row r="722" spans="1:4" ht="30" x14ac:dyDescent="0.25">
      <c r="A722" s="7" t="s">
        <v>10354</v>
      </c>
      <c r="B722" s="8" t="s">
        <v>10302</v>
      </c>
      <c r="C722" s="8" t="s">
        <v>993</v>
      </c>
      <c r="D722" s="8" t="str">
        <f>"9783839450246"</f>
        <v>9783839450246</v>
      </c>
    </row>
    <row r="723" spans="1:4" ht="30" x14ac:dyDescent="0.25">
      <c r="A723" s="7" t="s">
        <v>6273</v>
      </c>
      <c r="B723" s="8" t="s">
        <v>6274</v>
      </c>
      <c r="C723" s="8" t="s">
        <v>5134</v>
      </c>
      <c r="D723" s="8" t="str">
        <f>"9783662594063"</f>
        <v>9783662594063</v>
      </c>
    </row>
    <row r="724" spans="1:4" ht="30" x14ac:dyDescent="0.25">
      <c r="A724" s="7" t="s">
        <v>10203</v>
      </c>
      <c r="B724" s="8" t="s">
        <v>10204</v>
      </c>
      <c r="C724" s="8" t="s">
        <v>993</v>
      </c>
      <c r="D724" s="8" t="str">
        <f>"9783839443958"</f>
        <v>9783839443958</v>
      </c>
    </row>
    <row r="725" spans="1:4" ht="30" x14ac:dyDescent="0.25">
      <c r="A725" s="7" t="s">
        <v>13462</v>
      </c>
      <c r="B725" s="8" t="s">
        <v>13463</v>
      </c>
      <c r="C725" s="8" t="s">
        <v>12712</v>
      </c>
      <c r="D725" s="8" t="str">
        <f>"9783428419456"</f>
        <v>9783428419456</v>
      </c>
    </row>
    <row r="726" spans="1:4" x14ac:dyDescent="0.25">
      <c r="A726" s="7" t="s">
        <v>5974</v>
      </c>
      <c r="B726" s="8" t="s">
        <v>5714</v>
      </c>
      <c r="C726" s="8" t="s">
        <v>5134</v>
      </c>
      <c r="D726" s="8" t="str">
        <f>"9783662458549"</f>
        <v>9783662458549</v>
      </c>
    </row>
    <row r="727" spans="1:4" ht="30" x14ac:dyDescent="0.25">
      <c r="A727" s="7" t="s">
        <v>8174</v>
      </c>
      <c r="B727" s="8" t="s">
        <v>8175</v>
      </c>
      <c r="C727" s="8" t="s">
        <v>993</v>
      </c>
      <c r="D727" s="8" t="str">
        <f>"9783839450789"</f>
        <v>9783839450789</v>
      </c>
    </row>
    <row r="728" spans="1:4" x14ac:dyDescent="0.25">
      <c r="A728" s="7" t="s">
        <v>8071</v>
      </c>
      <c r="B728" s="8" t="s">
        <v>8072</v>
      </c>
      <c r="C728" s="8" t="s">
        <v>1865</v>
      </c>
      <c r="D728" s="8" t="str">
        <f>"9789179290078"</f>
        <v>9789179290078</v>
      </c>
    </row>
    <row r="729" spans="1:4" x14ac:dyDescent="0.25">
      <c r="A729" s="7" t="s">
        <v>5713</v>
      </c>
      <c r="B729" s="8" t="s">
        <v>5714</v>
      </c>
      <c r="C729" s="8" t="s">
        <v>5134</v>
      </c>
      <c r="D729" s="8" t="str">
        <f>"9783662488478"</f>
        <v>9783662488478</v>
      </c>
    </row>
    <row r="730" spans="1:4" x14ac:dyDescent="0.25">
      <c r="A730" s="7" t="s">
        <v>6866</v>
      </c>
      <c r="B730" s="8" t="s">
        <v>6867</v>
      </c>
      <c r="C730" s="8" t="s">
        <v>1865</v>
      </c>
      <c r="D730" s="8" t="str">
        <f>"9789179296483"</f>
        <v>9789179296483</v>
      </c>
    </row>
    <row r="731" spans="1:4" x14ac:dyDescent="0.25">
      <c r="A731" s="7" t="s">
        <v>14810</v>
      </c>
      <c r="B731" s="8" t="s">
        <v>14811</v>
      </c>
      <c r="C731" s="8" t="s">
        <v>1865</v>
      </c>
      <c r="D731" s="8" t="str">
        <f>"9789175196206"</f>
        <v>9789175196206</v>
      </c>
    </row>
    <row r="732" spans="1:4" x14ac:dyDescent="0.25">
      <c r="A732" s="7" t="s">
        <v>5382</v>
      </c>
      <c r="B732" s="8" t="s">
        <v>5383</v>
      </c>
      <c r="C732" s="8" t="s">
        <v>1865</v>
      </c>
      <c r="D732" s="8" t="str">
        <f>"9789179297701"</f>
        <v>9789179297701</v>
      </c>
    </row>
    <row r="733" spans="1:4" ht="30" x14ac:dyDescent="0.25">
      <c r="A733" s="7" t="s">
        <v>1780</v>
      </c>
      <c r="B733" s="8" t="s">
        <v>1781</v>
      </c>
      <c r="C733" s="8" t="s">
        <v>1345</v>
      </c>
      <c r="D733" s="8" t="str">
        <f>"9783862197132"</f>
        <v>9783862197132</v>
      </c>
    </row>
    <row r="734" spans="1:4" x14ac:dyDescent="0.25">
      <c r="A734" s="7" t="s">
        <v>3363</v>
      </c>
      <c r="B734" s="8" t="s">
        <v>3364</v>
      </c>
      <c r="C734" s="8" t="s">
        <v>1865</v>
      </c>
      <c r="D734" s="8" t="str">
        <f>"9789176854723"</f>
        <v>9789176854723</v>
      </c>
    </row>
    <row r="735" spans="1:4" x14ac:dyDescent="0.25">
      <c r="A735" s="7" t="s">
        <v>1353</v>
      </c>
      <c r="B735" s="8" t="s">
        <v>1354</v>
      </c>
      <c r="C735" s="8" t="s">
        <v>1345</v>
      </c>
      <c r="D735" s="8" t="str">
        <f>"9783899589573"</f>
        <v>9783899589573</v>
      </c>
    </row>
    <row r="736" spans="1:4" ht="30" x14ac:dyDescent="0.25">
      <c r="A736" s="7" t="s">
        <v>1695</v>
      </c>
      <c r="B736" s="8" t="s">
        <v>1696</v>
      </c>
      <c r="C736" s="8" t="s">
        <v>1345</v>
      </c>
      <c r="D736" s="8" t="str">
        <f>"9783862196111"</f>
        <v>9783862196111</v>
      </c>
    </row>
    <row r="737" spans="1:4" x14ac:dyDescent="0.25">
      <c r="A737" s="7" t="s">
        <v>8102</v>
      </c>
      <c r="B737" s="8" t="s">
        <v>6746</v>
      </c>
      <c r="C737" s="8" t="s">
        <v>5134</v>
      </c>
      <c r="D737" s="8" t="str">
        <f>"9783662641408"</f>
        <v>9783662641408</v>
      </c>
    </row>
    <row r="738" spans="1:4" x14ac:dyDescent="0.25">
      <c r="A738" s="7" t="s">
        <v>6745</v>
      </c>
      <c r="B738" s="8" t="s">
        <v>6746</v>
      </c>
      <c r="C738" s="8" t="s">
        <v>5134</v>
      </c>
      <c r="D738" s="8" t="str">
        <f>"9783662633540"</f>
        <v>9783662633540</v>
      </c>
    </row>
    <row r="739" spans="1:4" x14ac:dyDescent="0.25">
      <c r="A739" s="7" t="s">
        <v>16001</v>
      </c>
      <c r="B739" s="8" t="s">
        <v>16002</v>
      </c>
      <c r="C739" s="8" t="s">
        <v>1865</v>
      </c>
      <c r="D739" s="8" t="str">
        <f>"9789175199191"</f>
        <v>9789175199191</v>
      </c>
    </row>
    <row r="740" spans="1:4" ht="30" x14ac:dyDescent="0.25">
      <c r="A740" s="7" t="s">
        <v>9044</v>
      </c>
      <c r="B740" s="8" t="s">
        <v>9045</v>
      </c>
      <c r="C740" s="8" t="s">
        <v>2273</v>
      </c>
      <c r="D740" s="8" t="str">
        <f>"9783030911942"</f>
        <v>9783030911942</v>
      </c>
    </row>
    <row r="741" spans="1:4" x14ac:dyDescent="0.25">
      <c r="A741" s="7" t="s">
        <v>12644</v>
      </c>
      <c r="B741" s="8" t="s">
        <v>12645</v>
      </c>
      <c r="C741" s="8" t="s">
        <v>2273</v>
      </c>
      <c r="D741" s="8" t="str">
        <f>"9783030976064"</f>
        <v>9783030976064</v>
      </c>
    </row>
    <row r="742" spans="1:4" x14ac:dyDescent="0.25">
      <c r="A742" s="7" t="s">
        <v>5396</v>
      </c>
      <c r="B742" s="8" t="s">
        <v>5397</v>
      </c>
      <c r="C742" s="8" t="s">
        <v>1879</v>
      </c>
      <c r="D742" s="8" t="str">
        <f>"9781800640313"</f>
        <v>9781800640313</v>
      </c>
    </row>
    <row r="743" spans="1:4" x14ac:dyDescent="0.25">
      <c r="A743" s="7" t="s">
        <v>1281</v>
      </c>
      <c r="B743" s="8" t="s">
        <v>1282</v>
      </c>
      <c r="C743" s="8" t="s">
        <v>1224</v>
      </c>
      <c r="D743" s="8" t="str">
        <f>"9781618111456"</f>
        <v>9781618111456</v>
      </c>
    </row>
    <row r="744" spans="1:4" ht="30" x14ac:dyDescent="0.25">
      <c r="A744" s="7" t="s">
        <v>6372</v>
      </c>
      <c r="B744" s="8" t="s">
        <v>6373</v>
      </c>
      <c r="C744" s="8" t="s">
        <v>1865</v>
      </c>
      <c r="D744" s="8" t="str">
        <f>"9789179297138"</f>
        <v>9789179297138</v>
      </c>
    </row>
    <row r="745" spans="1:4" x14ac:dyDescent="0.25">
      <c r="A745" s="7" t="s">
        <v>510</v>
      </c>
      <c r="B745" s="8" t="s">
        <v>487</v>
      </c>
      <c r="C745" s="8" t="s">
        <v>316</v>
      </c>
      <c r="D745" s="8" t="str">
        <f>"9783110222128"</f>
        <v>9783110222128</v>
      </c>
    </row>
    <row r="746" spans="1:4" x14ac:dyDescent="0.25">
      <c r="A746" s="7" t="s">
        <v>3686</v>
      </c>
      <c r="B746" s="8" t="s">
        <v>3687</v>
      </c>
      <c r="C746" s="8" t="s">
        <v>1865</v>
      </c>
      <c r="D746" s="8" t="str">
        <f>"9789176852781"</f>
        <v>9789176852781</v>
      </c>
    </row>
    <row r="747" spans="1:4" x14ac:dyDescent="0.25">
      <c r="A747" s="7" t="s">
        <v>5715</v>
      </c>
      <c r="B747" s="8" t="s">
        <v>5716</v>
      </c>
      <c r="C747" s="8" t="s">
        <v>2273</v>
      </c>
      <c r="D747" s="8" t="str">
        <f>"9783319281124"</f>
        <v>9783319281124</v>
      </c>
    </row>
    <row r="748" spans="1:4" x14ac:dyDescent="0.25">
      <c r="A748" s="7" t="s">
        <v>2530</v>
      </c>
      <c r="B748" s="8" t="s">
        <v>2531</v>
      </c>
      <c r="C748" s="8" t="s">
        <v>1865</v>
      </c>
      <c r="D748" s="8" t="str">
        <f>"9789176859476"</f>
        <v>9789176859476</v>
      </c>
    </row>
    <row r="749" spans="1:4" x14ac:dyDescent="0.25">
      <c r="A749" s="7" t="s">
        <v>8429</v>
      </c>
      <c r="B749" s="8" t="s">
        <v>8430</v>
      </c>
      <c r="C749" s="8" t="s">
        <v>993</v>
      </c>
      <c r="D749" s="8" t="str">
        <f>"9783839457382"</f>
        <v>9783839457382</v>
      </c>
    </row>
    <row r="750" spans="1:4" ht="30" x14ac:dyDescent="0.25">
      <c r="A750" s="7" t="s">
        <v>12562</v>
      </c>
      <c r="B750" s="8" t="s">
        <v>12563</v>
      </c>
      <c r="C750" s="8" t="s">
        <v>2273</v>
      </c>
      <c r="D750" s="8" t="str">
        <f>"9783030985271"</f>
        <v>9783030985271</v>
      </c>
    </row>
    <row r="751" spans="1:4" x14ac:dyDescent="0.25">
      <c r="A751" s="7" t="s">
        <v>7763</v>
      </c>
      <c r="B751" s="8" t="s">
        <v>7764</v>
      </c>
      <c r="C751" s="8" t="s">
        <v>993</v>
      </c>
      <c r="D751" s="8" t="str">
        <f>"9783839403563"</f>
        <v>9783839403563</v>
      </c>
    </row>
    <row r="752" spans="1:4" x14ac:dyDescent="0.25">
      <c r="A752" s="7" t="s">
        <v>7872</v>
      </c>
      <c r="B752" s="8" t="s">
        <v>7873</v>
      </c>
      <c r="C752" s="8" t="s">
        <v>1865</v>
      </c>
      <c r="D752" s="8" t="str">
        <f>"9789179296063"</f>
        <v>9789179296063</v>
      </c>
    </row>
    <row r="753" spans="1:4" x14ac:dyDescent="0.25">
      <c r="A753" s="7" t="s">
        <v>8799</v>
      </c>
      <c r="B753" s="8" t="s">
        <v>8800</v>
      </c>
      <c r="C753" s="8" t="s">
        <v>2273</v>
      </c>
      <c r="D753" s="8" t="str">
        <f>"9783030888671"</f>
        <v>9783030888671</v>
      </c>
    </row>
    <row r="754" spans="1:4" x14ac:dyDescent="0.25">
      <c r="A754" s="7" t="s">
        <v>1060</v>
      </c>
      <c r="B754" s="8" t="s">
        <v>1061</v>
      </c>
      <c r="C754" s="8" t="s">
        <v>316</v>
      </c>
      <c r="D754" s="8" t="str">
        <f>"9783110927405"</f>
        <v>9783110927405</v>
      </c>
    </row>
    <row r="755" spans="1:4" ht="30" x14ac:dyDescent="0.25">
      <c r="A755" s="7" t="s">
        <v>3204</v>
      </c>
      <c r="B755" s="8" t="s">
        <v>3205</v>
      </c>
      <c r="C755" s="8" t="s">
        <v>1865</v>
      </c>
      <c r="D755" s="8" t="str">
        <f>"9789176855508"</f>
        <v>9789176855508</v>
      </c>
    </row>
    <row r="756" spans="1:4" ht="30" x14ac:dyDescent="0.25">
      <c r="A756" s="7" t="s">
        <v>3289</v>
      </c>
      <c r="B756" s="8" t="s">
        <v>3290</v>
      </c>
      <c r="C756" s="8" t="s">
        <v>1865</v>
      </c>
      <c r="D756" s="8" t="str">
        <f>"9789176854686"</f>
        <v>9789176854686</v>
      </c>
    </row>
    <row r="757" spans="1:4" ht="30" x14ac:dyDescent="0.25">
      <c r="A757" s="7" t="s">
        <v>16313</v>
      </c>
      <c r="B757" s="8" t="s">
        <v>16314</v>
      </c>
      <c r="C757" s="8" t="s">
        <v>1865</v>
      </c>
      <c r="D757" s="8" t="str">
        <f>"9789175192277"</f>
        <v>9789175192277</v>
      </c>
    </row>
    <row r="758" spans="1:4" x14ac:dyDescent="0.25">
      <c r="A758" s="7" t="s">
        <v>3056</v>
      </c>
      <c r="B758" s="8" t="s">
        <v>3057</v>
      </c>
      <c r="C758" s="8" t="s">
        <v>1865</v>
      </c>
      <c r="D758" s="8" t="str">
        <f>"9789176855812"</f>
        <v>9789176855812</v>
      </c>
    </row>
    <row r="759" spans="1:4" x14ac:dyDescent="0.25">
      <c r="A759" s="7" t="s">
        <v>4505</v>
      </c>
      <c r="B759" s="8" t="s">
        <v>4506</v>
      </c>
      <c r="C759" s="8" t="s">
        <v>1865</v>
      </c>
      <c r="D759" s="8" t="str">
        <f>"9789176850459"</f>
        <v>9789176850459</v>
      </c>
    </row>
    <row r="760" spans="1:4" ht="30" x14ac:dyDescent="0.25">
      <c r="A760" s="7" t="s">
        <v>15603</v>
      </c>
      <c r="B760" s="8" t="s">
        <v>15604</v>
      </c>
      <c r="C760" s="8" t="s">
        <v>1865</v>
      </c>
      <c r="D760" s="8" t="str">
        <f>"9789185831234"</f>
        <v>9789185831234</v>
      </c>
    </row>
    <row r="761" spans="1:4" x14ac:dyDescent="0.25">
      <c r="A761" s="7" t="s">
        <v>5043</v>
      </c>
      <c r="B761" s="8" t="s">
        <v>5044</v>
      </c>
      <c r="C761" s="8" t="s">
        <v>355</v>
      </c>
      <c r="D761" s="8" t="str">
        <f>"9783110596588"</f>
        <v>9783110596588</v>
      </c>
    </row>
    <row r="762" spans="1:4" x14ac:dyDescent="0.25">
      <c r="A762" s="7" t="s">
        <v>10577</v>
      </c>
      <c r="B762" s="8" t="s">
        <v>10578</v>
      </c>
      <c r="C762" s="8" t="s">
        <v>993</v>
      </c>
      <c r="D762" s="8" t="str">
        <f>"9783839460481"</f>
        <v>9783839460481</v>
      </c>
    </row>
    <row r="763" spans="1:4" ht="30" x14ac:dyDescent="0.25">
      <c r="A763" s="7" t="s">
        <v>3915</v>
      </c>
      <c r="B763" s="8" t="s">
        <v>3916</v>
      </c>
      <c r="C763" s="8" t="s">
        <v>355</v>
      </c>
      <c r="D763" s="8" t="str">
        <f>"9783110526042"</f>
        <v>9783110526042</v>
      </c>
    </row>
    <row r="764" spans="1:4" x14ac:dyDescent="0.25">
      <c r="A764" s="7" t="s">
        <v>3478</v>
      </c>
      <c r="B764" s="8" t="s">
        <v>3479</v>
      </c>
      <c r="C764" s="8" t="s">
        <v>1879</v>
      </c>
      <c r="D764" s="8" t="str">
        <f>"9781783742851"</f>
        <v>9781783742851</v>
      </c>
    </row>
    <row r="765" spans="1:4" x14ac:dyDescent="0.25">
      <c r="A765" s="7" t="s">
        <v>15061</v>
      </c>
      <c r="B765" s="8" t="s">
        <v>15062</v>
      </c>
      <c r="C765" s="8" t="s">
        <v>1865</v>
      </c>
      <c r="D765" s="8" t="str">
        <f>"9789180750172"</f>
        <v>9789180750172</v>
      </c>
    </row>
    <row r="766" spans="1:4" ht="30" x14ac:dyDescent="0.25">
      <c r="A766" s="7" t="s">
        <v>13099</v>
      </c>
      <c r="B766" s="8" t="s">
        <v>13072</v>
      </c>
      <c r="C766" s="8" t="s">
        <v>12712</v>
      </c>
      <c r="D766" s="8" t="str">
        <f>"9783428572717"</f>
        <v>9783428572717</v>
      </c>
    </row>
    <row r="767" spans="1:4" ht="30" x14ac:dyDescent="0.25">
      <c r="A767" s="7" t="s">
        <v>13097</v>
      </c>
      <c r="B767" s="8" t="s">
        <v>13072</v>
      </c>
      <c r="C767" s="8" t="s">
        <v>12712</v>
      </c>
      <c r="D767" s="8" t="str">
        <f>"9783428572694"</f>
        <v>9783428572694</v>
      </c>
    </row>
    <row r="768" spans="1:4" ht="30" x14ac:dyDescent="0.25">
      <c r="A768" s="7" t="s">
        <v>13098</v>
      </c>
      <c r="B768" s="8" t="s">
        <v>13072</v>
      </c>
      <c r="C768" s="8" t="s">
        <v>12712</v>
      </c>
      <c r="D768" s="8" t="str">
        <f>"9783428572700"</f>
        <v>9783428572700</v>
      </c>
    </row>
    <row r="769" spans="1:4" ht="30" x14ac:dyDescent="0.25">
      <c r="A769" s="7" t="s">
        <v>4383</v>
      </c>
      <c r="B769" s="8" t="s">
        <v>4384</v>
      </c>
      <c r="C769" s="8" t="s">
        <v>1345</v>
      </c>
      <c r="D769" s="8" t="str">
        <f>"9783737606592"</f>
        <v>9783737606592</v>
      </c>
    </row>
    <row r="770" spans="1:4" ht="30" x14ac:dyDescent="0.25">
      <c r="A770" s="7" t="s">
        <v>8412</v>
      </c>
      <c r="B770" s="8" t="s">
        <v>118</v>
      </c>
      <c r="C770" s="8" t="s">
        <v>993</v>
      </c>
      <c r="D770" s="8" t="str">
        <f>"9783839451656"</f>
        <v>9783839451656</v>
      </c>
    </row>
    <row r="771" spans="1:4" x14ac:dyDescent="0.25">
      <c r="A771" s="7" t="s">
        <v>13542</v>
      </c>
      <c r="B771" s="8" t="s">
        <v>13543</v>
      </c>
      <c r="C771" s="8" t="s">
        <v>2273</v>
      </c>
      <c r="D771" s="8" t="str">
        <f>"9783031098390"</f>
        <v>9783031098390</v>
      </c>
    </row>
    <row r="772" spans="1:4" x14ac:dyDescent="0.25">
      <c r="A772" s="7" t="s">
        <v>15451</v>
      </c>
      <c r="B772" s="8" t="s">
        <v>15452</v>
      </c>
      <c r="C772" s="8" t="s">
        <v>1865</v>
      </c>
      <c r="D772" s="8" t="str">
        <f>"9789180750363"</f>
        <v>9789180750363</v>
      </c>
    </row>
    <row r="773" spans="1:4" x14ac:dyDescent="0.25">
      <c r="A773" s="7" t="s">
        <v>6854</v>
      </c>
      <c r="B773" s="8" t="s">
        <v>6855</v>
      </c>
      <c r="C773" s="8" t="s">
        <v>2273</v>
      </c>
      <c r="D773" s="8" t="str">
        <f>"9783030627928"</f>
        <v>9783030627928</v>
      </c>
    </row>
    <row r="774" spans="1:4" x14ac:dyDescent="0.25">
      <c r="A774" s="7" t="s">
        <v>9220</v>
      </c>
      <c r="B774" s="8" t="s">
        <v>9221</v>
      </c>
      <c r="C774" s="8" t="s">
        <v>4882</v>
      </c>
      <c r="D774" s="8" t="str">
        <f>"9781781385524"</f>
        <v>9781781385524</v>
      </c>
    </row>
    <row r="775" spans="1:4" x14ac:dyDescent="0.25">
      <c r="A775" s="7" t="s">
        <v>10228</v>
      </c>
      <c r="B775" s="8" t="s">
        <v>10229</v>
      </c>
      <c r="C775" s="8" t="s">
        <v>993</v>
      </c>
      <c r="D775" s="8" t="str">
        <f>"9783839445372"</f>
        <v>9783839445372</v>
      </c>
    </row>
    <row r="776" spans="1:4" x14ac:dyDescent="0.25">
      <c r="A776" s="7" t="s">
        <v>5270</v>
      </c>
      <c r="B776" s="8" t="s">
        <v>5271</v>
      </c>
      <c r="C776" s="8" t="s">
        <v>2273</v>
      </c>
      <c r="D776" s="8" t="str">
        <f>"9783319263809"</f>
        <v>9783319263809</v>
      </c>
    </row>
    <row r="777" spans="1:4" x14ac:dyDescent="0.25">
      <c r="A777" s="7" t="s">
        <v>9100</v>
      </c>
      <c r="B777" s="8" t="s">
        <v>9101</v>
      </c>
      <c r="C777" s="8" t="s">
        <v>993</v>
      </c>
      <c r="D777" s="8" t="str">
        <f>"9783839457313"</f>
        <v>9783839457313</v>
      </c>
    </row>
    <row r="778" spans="1:4" x14ac:dyDescent="0.25">
      <c r="A778" s="7" t="s">
        <v>1764</v>
      </c>
      <c r="B778" s="8" t="s">
        <v>1765</v>
      </c>
      <c r="C778" s="8" t="s">
        <v>1345</v>
      </c>
      <c r="D778" s="8" t="str">
        <f>"9783862196579"</f>
        <v>9783862196579</v>
      </c>
    </row>
    <row r="779" spans="1:4" x14ac:dyDescent="0.25">
      <c r="A779" s="7" t="s">
        <v>557</v>
      </c>
      <c r="B779" s="8" t="s">
        <v>558</v>
      </c>
      <c r="C779" s="8" t="s">
        <v>355</v>
      </c>
      <c r="D779" s="8" t="str">
        <f>"9788376560052"</f>
        <v>9788376560052</v>
      </c>
    </row>
    <row r="780" spans="1:4" x14ac:dyDescent="0.25">
      <c r="A780" s="7" t="s">
        <v>9022</v>
      </c>
      <c r="B780" s="8" t="s">
        <v>9023</v>
      </c>
      <c r="C780" s="8" t="s">
        <v>1224</v>
      </c>
      <c r="D780" s="8" t="str">
        <f>"9781618119230"</f>
        <v>9781618119230</v>
      </c>
    </row>
    <row r="781" spans="1:4" ht="45" x14ac:dyDescent="0.25">
      <c r="A781" s="7" t="s">
        <v>1078</v>
      </c>
      <c r="B781" s="8" t="s">
        <v>1079</v>
      </c>
      <c r="C781" s="8" t="s">
        <v>316</v>
      </c>
      <c r="D781" s="8" t="str">
        <f>"9783110904499"</f>
        <v>9783110904499</v>
      </c>
    </row>
    <row r="782" spans="1:4" x14ac:dyDescent="0.25">
      <c r="A782" s="7" t="s">
        <v>3077</v>
      </c>
      <c r="B782" s="8" t="s">
        <v>3078</v>
      </c>
      <c r="C782" s="8" t="s">
        <v>1879</v>
      </c>
      <c r="D782" s="8" t="str">
        <f>"9781783742509"</f>
        <v>9781783742509</v>
      </c>
    </row>
    <row r="783" spans="1:4" ht="30" x14ac:dyDescent="0.25">
      <c r="A783" s="7" t="s">
        <v>3456</v>
      </c>
      <c r="B783" s="8" t="s">
        <v>3457</v>
      </c>
      <c r="C783" s="8" t="s">
        <v>1865</v>
      </c>
      <c r="D783" s="8" t="str">
        <f>"9789176854020"</f>
        <v>9789176854020</v>
      </c>
    </row>
    <row r="784" spans="1:4" ht="30" x14ac:dyDescent="0.25">
      <c r="A784" s="7" t="s">
        <v>10143</v>
      </c>
      <c r="B784" s="8" t="s">
        <v>8346</v>
      </c>
      <c r="C784" s="8" t="s">
        <v>993</v>
      </c>
      <c r="D784" s="8" t="str">
        <f>"9783839439715"</f>
        <v>9783839439715</v>
      </c>
    </row>
    <row r="785" spans="1:4" x14ac:dyDescent="0.25">
      <c r="A785" s="7" t="s">
        <v>749</v>
      </c>
      <c r="B785" s="8" t="s">
        <v>750</v>
      </c>
      <c r="C785" s="8" t="s">
        <v>355</v>
      </c>
      <c r="D785" s="8" t="str">
        <f>"9788376560359"</f>
        <v>9788376560359</v>
      </c>
    </row>
    <row r="786" spans="1:4" x14ac:dyDescent="0.25">
      <c r="A786" s="7" t="s">
        <v>7224</v>
      </c>
      <c r="B786" s="8" t="s">
        <v>7225</v>
      </c>
      <c r="C786" s="8" t="s">
        <v>329</v>
      </c>
      <c r="D786" s="8" t="str">
        <f>"9789048542871"</f>
        <v>9789048542871</v>
      </c>
    </row>
    <row r="787" spans="1:4" x14ac:dyDescent="0.25">
      <c r="A787" s="7" t="s">
        <v>3659</v>
      </c>
      <c r="B787" s="8" t="s">
        <v>3660</v>
      </c>
      <c r="C787" s="8" t="s">
        <v>1865</v>
      </c>
      <c r="D787" s="8" t="str">
        <f>"9789176853047"</f>
        <v>9789176853047</v>
      </c>
    </row>
    <row r="788" spans="1:4" x14ac:dyDescent="0.25">
      <c r="A788" s="7" t="s">
        <v>14666</v>
      </c>
      <c r="B788" s="8" t="s">
        <v>14667</v>
      </c>
      <c r="C788" s="8" t="s">
        <v>1865</v>
      </c>
      <c r="D788" s="8" t="str">
        <f>"9789179294359"</f>
        <v>9789179294359</v>
      </c>
    </row>
    <row r="789" spans="1:4" x14ac:dyDescent="0.25">
      <c r="A789" s="7" t="s">
        <v>9661</v>
      </c>
      <c r="B789" s="8" t="s">
        <v>9662</v>
      </c>
      <c r="C789" s="8" t="s">
        <v>2082</v>
      </c>
      <c r="D789" s="8" t="str">
        <f>"9780472902507"</f>
        <v>9780472902507</v>
      </c>
    </row>
    <row r="790" spans="1:4" x14ac:dyDescent="0.25">
      <c r="A790" s="7" t="s">
        <v>7097</v>
      </c>
      <c r="B790" s="8" t="s">
        <v>7098</v>
      </c>
      <c r="C790" s="8" t="s">
        <v>329</v>
      </c>
      <c r="D790" s="8" t="str">
        <f>"9789048550180"</f>
        <v>9789048550180</v>
      </c>
    </row>
    <row r="791" spans="1:4" ht="45" x14ac:dyDescent="0.25">
      <c r="A791" s="7" t="s">
        <v>1643</v>
      </c>
      <c r="B791" s="8" t="s">
        <v>1644</v>
      </c>
      <c r="C791" s="8" t="s">
        <v>1345</v>
      </c>
      <c r="D791" s="8" t="str">
        <f>"9783862191390"</f>
        <v>9783862191390</v>
      </c>
    </row>
    <row r="792" spans="1:4" ht="30" x14ac:dyDescent="0.25">
      <c r="A792" s="7" t="s">
        <v>2935</v>
      </c>
      <c r="B792" s="8" t="s">
        <v>2936</v>
      </c>
      <c r="C792" s="8" t="s">
        <v>1345</v>
      </c>
      <c r="D792" s="8" t="str">
        <f>"9783737602051"</f>
        <v>9783737602051</v>
      </c>
    </row>
    <row r="793" spans="1:4" ht="30" x14ac:dyDescent="0.25">
      <c r="A793" s="7" t="s">
        <v>2368</v>
      </c>
      <c r="B793" s="8" t="s">
        <v>2369</v>
      </c>
      <c r="C793" s="8" t="s">
        <v>1345</v>
      </c>
      <c r="D793" s="8" t="str">
        <f>"9783862199754"</f>
        <v>9783862199754</v>
      </c>
    </row>
    <row r="794" spans="1:4" ht="30" x14ac:dyDescent="0.25">
      <c r="A794" s="7" t="s">
        <v>3135</v>
      </c>
      <c r="B794" s="8" t="s">
        <v>3136</v>
      </c>
      <c r="C794" s="8" t="s">
        <v>1345</v>
      </c>
      <c r="D794" s="8" t="str">
        <f>"9783737602938"</f>
        <v>9783737602938</v>
      </c>
    </row>
    <row r="795" spans="1:4" ht="30" x14ac:dyDescent="0.25">
      <c r="A795" s="7" t="s">
        <v>3507</v>
      </c>
      <c r="B795" s="8" t="s">
        <v>3508</v>
      </c>
      <c r="C795" s="8" t="s">
        <v>1345</v>
      </c>
      <c r="D795" s="8" t="str">
        <f>"9783737604239"</f>
        <v>9783737604239</v>
      </c>
    </row>
    <row r="796" spans="1:4" x14ac:dyDescent="0.25">
      <c r="A796" s="7" t="s">
        <v>12992</v>
      </c>
      <c r="B796" s="8" t="s">
        <v>12993</v>
      </c>
      <c r="C796" s="8" t="s">
        <v>12712</v>
      </c>
      <c r="D796" s="8" t="str">
        <f>"9783428462728"</f>
        <v>9783428462728</v>
      </c>
    </row>
    <row r="797" spans="1:4" x14ac:dyDescent="0.25">
      <c r="A797" s="7" t="s">
        <v>12806</v>
      </c>
      <c r="B797" s="8" t="s">
        <v>12807</v>
      </c>
      <c r="C797" s="8" t="s">
        <v>12712</v>
      </c>
      <c r="D797" s="8" t="str">
        <f>"9783428425952"</f>
        <v>9783428425952</v>
      </c>
    </row>
    <row r="798" spans="1:4" x14ac:dyDescent="0.25">
      <c r="A798" s="7" t="s">
        <v>12923</v>
      </c>
      <c r="B798" s="8" t="s">
        <v>12900</v>
      </c>
      <c r="C798" s="8" t="s">
        <v>12712</v>
      </c>
      <c r="D798" s="8" t="str">
        <f>"9783428450084"</f>
        <v>9783428450084</v>
      </c>
    </row>
    <row r="799" spans="1:4" x14ac:dyDescent="0.25">
      <c r="A799" s="7" t="s">
        <v>12939</v>
      </c>
      <c r="B799" s="8" t="s">
        <v>12914</v>
      </c>
      <c r="C799" s="8" t="s">
        <v>12712</v>
      </c>
      <c r="D799" s="8" t="str">
        <f>"9783428453931"</f>
        <v>9783428453931</v>
      </c>
    </row>
    <row r="800" spans="1:4" x14ac:dyDescent="0.25">
      <c r="A800" s="7" t="s">
        <v>12827</v>
      </c>
      <c r="B800" s="8" t="s">
        <v>12818</v>
      </c>
      <c r="C800" s="8" t="s">
        <v>12712</v>
      </c>
      <c r="D800" s="8" t="str">
        <f>"9783428431182"</f>
        <v>9783428431182</v>
      </c>
    </row>
    <row r="801" spans="1:4" x14ac:dyDescent="0.25">
      <c r="A801" s="7" t="s">
        <v>12971</v>
      </c>
      <c r="B801" s="8" t="s">
        <v>12972</v>
      </c>
      <c r="C801" s="8" t="s">
        <v>12712</v>
      </c>
      <c r="D801" s="8" t="str">
        <f>"9783428459698"</f>
        <v>9783428459698</v>
      </c>
    </row>
    <row r="802" spans="1:4" x14ac:dyDescent="0.25">
      <c r="A802" s="7" t="s">
        <v>11443</v>
      </c>
      <c r="B802" s="8" t="s">
        <v>11444</v>
      </c>
      <c r="C802" s="8" t="s">
        <v>355</v>
      </c>
      <c r="D802" s="8" t="str">
        <f>"9783111569598"</f>
        <v>9783111569598</v>
      </c>
    </row>
    <row r="803" spans="1:4" x14ac:dyDescent="0.25">
      <c r="A803" s="7" t="s">
        <v>12915</v>
      </c>
      <c r="B803" s="8" t="s">
        <v>12916</v>
      </c>
      <c r="C803" s="8" t="s">
        <v>12712</v>
      </c>
      <c r="D803" s="8" t="str">
        <f>"9783428448142"</f>
        <v>9783428448142</v>
      </c>
    </row>
    <row r="804" spans="1:4" x14ac:dyDescent="0.25">
      <c r="A804" s="7" t="s">
        <v>13470</v>
      </c>
      <c r="B804" s="8" t="s">
        <v>12982</v>
      </c>
      <c r="C804" s="8" t="s">
        <v>12712</v>
      </c>
      <c r="D804" s="8" t="str">
        <f>"9783428462889"</f>
        <v>9783428462889</v>
      </c>
    </row>
    <row r="805" spans="1:4" x14ac:dyDescent="0.25">
      <c r="A805" s="7" t="s">
        <v>3776</v>
      </c>
      <c r="B805" s="8" t="s">
        <v>3777</v>
      </c>
      <c r="C805" s="8" t="s">
        <v>1345</v>
      </c>
      <c r="D805" s="8" t="str">
        <f>"9783737604918"</f>
        <v>9783737604918</v>
      </c>
    </row>
    <row r="806" spans="1:4" x14ac:dyDescent="0.25">
      <c r="A806" s="7" t="s">
        <v>12731</v>
      </c>
      <c r="B806" s="8" t="s">
        <v>12720</v>
      </c>
      <c r="C806" s="8" t="s">
        <v>12712</v>
      </c>
      <c r="D806" s="8" t="str">
        <f>"9783428404926"</f>
        <v>9783428404926</v>
      </c>
    </row>
    <row r="807" spans="1:4" ht="30" x14ac:dyDescent="0.25">
      <c r="A807" s="7" t="s">
        <v>13177</v>
      </c>
      <c r="B807" s="8" t="s">
        <v>13072</v>
      </c>
      <c r="C807" s="8" t="s">
        <v>12712</v>
      </c>
      <c r="D807" s="8" t="str">
        <f>"9783428573394"</f>
        <v>9783428573394</v>
      </c>
    </row>
    <row r="808" spans="1:4" ht="30" x14ac:dyDescent="0.25">
      <c r="A808" s="7" t="s">
        <v>13176</v>
      </c>
      <c r="B808" s="8" t="s">
        <v>13072</v>
      </c>
      <c r="C808" s="8" t="s">
        <v>12712</v>
      </c>
      <c r="D808" s="8" t="str">
        <f>"9783428573370"</f>
        <v>9783428573370</v>
      </c>
    </row>
    <row r="809" spans="1:4" ht="30" x14ac:dyDescent="0.25">
      <c r="A809" s="7" t="s">
        <v>13175</v>
      </c>
      <c r="B809" s="8" t="s">
        <v>13072</v>
      </c>
      <c r="C809" s="8" t="s">
        <v>12712</v>
      </c>
      <c r="D809" s="8" t="str">
        <f>"9783428573387"</f>
        <v>9783428573387</v>
      </c>
    </row>
    <row r="810" spans="1:4" ht="30" x14ac:dyDescent="0.25">
      <c r="A810" s="7" t="s">
        <v>13178</v>
      </c>
      <c r="B810" s="8" t="s">
        <v>13072</v>
      </c>
      <c r="C810" s="8" t="s">
        <v>12712</v>
      </c>
      <c r="D810" s="8" t="str">
        <f>"9783428573400"</f>
        <v>9783428573400</v>
      </c>
    </row>
    <row r="811" spans="1:4" x14ac:dyDescent="0.25">
      <c r="A811" s="7" t="s">
        <v>12715</v>
      </c>
      <c r="B811" s="8" t="s">
        <v>12716</v>
      </c>
      <c r="C811" s="8" t="s">
        <v>12712</v>
      </c>
      <c r="D811" s="8" t="str">
        <f>"9783428400867"</f>
        <v>9783428400867</v>
      </c>
    </row>
    <row r="812" spans="1:4" x14ac:dyDescent="0.25">
      <c r="A812" s="7" t="s">
        <v>12773</v>
      </c>
      <c r="B812" s="8" t="s">
        <v>12774</v>
      </c>
      <c r="C812" s="8" t="s">
        <v>12712</v>
      </c>
      <c r="D812" s="8" t="str">
        <f>"9783428417902"</f>
        <v>9783428417902</v>
      </c>
    </row>
    <row r="813" spans="1:4" ht="30" x14ac:dyDescent="0.25">
      <c r="A813" s="7" t="s">
        <v>13359</v>
      </c>
      <c r="B813" s="8" t="s">
        <v>13357</v>
      </c>
      <c r="C813" s="8" t="s">
        <v>12712</v>
      </c>
      <c r="D813" s="8" t="str">
        <f>"9783428575183"</f>
        <v>9783428575183</v>
      </c>
    </row>
    <row r="814" spans="1:4" ht="45" x14ac:dyDescent="0.25">
      <c r="A814" s="7" t="s">
        <v>13356</v>
      </c>
      <c r="B814" s="8" t="s">
        <v>13357</v>
      </c>
      <c r="C814" s="8" t="s">
        <v>12712</v>
      </c>
      <c r="D814" s="8" t="str">
        <f>"9783428575169"</f>
        <v>9783428575169</v>
      </c>
    </row>
    <row r="815" spans="1:4" ht="30" x14ac:dyDescent="0.25">
      <c r="A815" s="7" t="s">
        <v>13358</v>
      </c>
      <c r="B815" s="8" t="s">
        <v>13357</v>
      </c>
      <c r="C815" s="8" t="s">
        <v>12712</v>
      </c>
      <c r="D815" s="8" t="str">
        <f>"9783428575176"</f>
        <v>9783428575176</v>
      </c>
    </row>
    <row r="816" spans="1:4" x14ac:dyDescent="0.25">
      <c r="A816" s="7" t="s">
        <v>12775</v>
      </c>
      <c r="B816" s="8" t="s">
        <v>12776</v>
      </c>
      <c r="C816" s="8" t="s">
        <v>12712</v>
      </c>
      <c r="D816" s="8" t="str">
        <f>"9783428417919"</f>
        <v>9783428417919</v>
      </c>
    </row>
    <row r="817" spans="1:4" x14ac:dyDescent="0.25">
      <c r="A817" s="7" t="s">
        <v>12717</v>
      </c>
      <c r="B817" s="8" t="s">
        <v>12718</v>
      </c>
      <c r="C817" s="8" t="s">
        <v>12712</v>
      </c>
      <c r="D817" s="8" t="str">
        <f>"9783428400898"</f>
        <v>9783428400898</v>
      </c>
    </row>
    <row r="818" spans="1:4" x14ac:dyDescent="0.25">
      <c r="A818" s="7" t="s">
        <v>12719</v>
      </c>
      <c r="B818" s="8" t="s">
        <v>12720</v>
      </c>
      <c r="C818" s="8" t="s">
        <v>12712</v>
      </c>
      <c r="D818" s="8" t="str">
        <f>"9783428402427"</f>
        <v>9783428402427</v>
      </c>
    </row>
    <row r="819" spans="1:4" x14ac:dyDescent="0.25">
      <c r="A819" s="7" t="s">
        <v>12777</v>
      </c>
      <c r="B819" s="8" t="s">
        <v>12774</v>
      </c>
      <c r="C819" s="8" t="s">
        <v>12712</v>
      </c>
      <c r="D819" s="8" t="str">
        <f>"9783428417926"</f>
        <v>9783428417926</v>
      </c>
    </row>
    <row r="820" spans="1:4" ht="45" x14ac:dyDescent="0.25">
      <c r="A820" s="7" t="s">
        <v>13347</v>
      </c>
      <c r="B820" s="8" t="s">
        <v>189</v>
      </c>
      <c r="C820" s="8" t="s">
        <v>12712</v>
      </c>
      <c r="D820" s="8" t="str">
        <f>"9783428575060"</f>
        <v>9783428575060</v>
      </c>
    </row>
    <row r="821" spans="1:4" ht="30" x14ac:dyDescent="0.25">
      <c r="A821" s="7" t="s">
        <v>13348</v>
      </c>
      <c r="B821" s="8" t="s">
        <v>189</v>
      </c>
      <c r="C821" s="8" t="s">
        <v>12712</v>
      </c>
      <c r="D821" s="8" t="str">
        <f>"9783428575077"</f>
        <v>9783428575077</v>
      </c>
    </row>
    <row r="822" spans="1:4" ht="30" x14ac:dyDescent="0.25">
      <c r="A822" s="7" t="s">
        <v>14100</v>
      </c>
      <c r="B822" s="8" t="s">
        <v>14101</v>
      </c>
      <c r="C822" s="8" t="s">
        <v>993</v>
      </c>
      <c r="D822" s="8" t="str">
        <f>"9783839465721"</f>
        <v>9783839465721</v>
      </c>
    </row>
    <row r="823" spans="1:4" x14ac:dyDescent="0.25">
      <c r="A823" s="7" t="s">
        <v>6142</v>
      </c>
      <c r="B823" s="8" t="s">
        <v>6143</v>
      </c>
      <c r="C823" s="8" t="s">
        <v>2273</v>
      </c>
      <c r="D823" s="8" t="str">
        <f>"9783319789347"</f>
        <v>9783319789347</v>
      </c>
    </row>
    <row r="824" spans="1:4" x14ac:dyDescent="0.25">
      <c r="A824" s="7" t="s">
        <v>1314</v>
      </c>
      <c r="B824" s="8" t="s">
        <v>1315</v>
      </c>
      <c r="C824" s="8" t="s">
        <v>1224</v>
      </c>
      <c r="D824" s="8" t="str">
        <f>"9781618116949"</f>
        <v>9781618116949</v>
      </c>
    </row>
    <row r="825" spans="1:4" x14ac:dyDescent="0.25">
      <c r="A825" s="7" t="s">
        <v>4209</v>
      </c>
      <c r="B825" s="8" t="s">
        <v>4210</v>
      </c>
      <c r="C825" s="8" t="s">
        <v>993</v>
      </c>
      <c r="D825" s="8" t="str">
        <f>"9783839446003"</f>
        <v>9783839446003</v>
      </c>
    </row>
    <row r="826" spans="1:4" x14ac:dyDescent="0.25">
      <c r="A826" s="7" t="s">
        <v>1338</v>
      </c>
      <c r="B826" s="8" t="s">
        <v>1339</v>
      </c>
      <c r="C826" s="8" t="s">
        <v>1332</v>
      </c>
      <c r="D826" s="8" t="str">
        <f>"9781780401171"</f>
        <v>9781780401171</v>
      </c>
    </row>
    <row r="827" spans="1:4" ht="30" x14ac:dyDescent="0.25">
      <c r="A827" s="7" t="s">
        <v>3549</v>
      </c>
      <c r="B827" s="8" t="s">
        <v>3550</v>
      </c>
      <c r="C827" s="8" t="s">
        <v>1345</v>
      </c>
      <c r="D827" s="8" t="str">
        <f>"9783737604314"</f>
        <v>9783737604314</v>
      </c>
    </row>
    <row r="828" spans="1:4" x14ac:dyDescent="0.25">
      <c r="A828" s="7" t="s">
        <v>7330</v>
      </c>
      <c r="B828" s="8" t="s">
        <v>7331</v>
      </c>
      <c r="C828" s="8" t="s">
        <v>2273</v>
      </c>
      <c r="D828" s="8" t="str">
        <f>"9783030742188"</f>
        <v>9783030742188</v>
      </c>
    </row>
    <row r="829" spans="1:4" ht="30" x14ac:dyDescent="0.25">
      <c r="A829" s="7" t="s">
        <v>9832</v>
      </c>
      <c r="B829" s="8" t="s">
        <v>9833</v>
      </c>
      <c r="C829" s="8" t="s">
        <v>993</v>
      </c>
      <c r="D829" s="8" t="str">
        <f>"9783839405864"</f>
        <v>9783839405864</v>
      </c>
    </row>
    <row r="830" spans="1:4" x14ac:dyDescent="0.25">
      <c r="A830" s="7" t="s">
        <v>3813</v>
      </c>
      <c r="B830" s="8" t="s">
        <v>3814</v>
      </c>
      <c r="C830" s="8" t="s">
        <v>1865</v>
      </c>
      <c r="D830" s="8" t="str">
        <f>"9789176852583"</f>
        <v>9789176852583</v>
      </c>
    </row>
    <row r="831" spans="1:4" ht="30" x14ac:dyDescent="0.25">
      <c r="A831" s="7" t="s">
        <v>2633</v>
      </c>
      <c r="B831" s="8" t="s">
        <v>2634</v>
      </c>
      <c r="C831" s="8" t="s">
        <v>1345</v>
      </c>
      <c r="D831" s="8" t="str">
        <f>"9783737600774"</f>
        <v>9783737600774</v>
      </c>
    </row>
    <row r="832" spans="1:4" ht="30" x14ac:dyDescent="0.25">
      <c r="A832" s="7" t="s">
        <v>13119</v>
      </c>
      <c r="B832" s="8" t="s">
        <v>13072</v>
      </c>
      <c r="C832" s="8" t="s">
        <v>12712</v>
      </c>
      <c r="D832" s="8" t="str">
        <f>"9783428572885"</f>
        <v>9783428572885</v>
      </c>
    </row>
    <row r="833" spans="1:4" ht="30" x14ac:dyDescent="0.25">
      <c r="A833" s="7" t="s">
        <v>13120</v>
      </c>
      <c r="B833" s="8" t="s">
        <v>13072</v>
      </c>
      <c r="C833" s="8" t="s">
        <v>12712</v>
      </c>
      <c r="D833" s="8" t="str">
        <f>"9783428572892"</f>
        <v>9783428572892</v>
      </c>
    </row>
    <row r="834" spans="1:4" ht="30" x14ac:dyDescent="0.25">
      <c r="A834" s="7" t="s">
        <v>13123</v>
      </c>
      <c r="B834" s="8"/>
      <c r="C834" s="8" t="s">
        <v>12712</v>
      </c>
      <c r="D834" s="8" t="str">
        <f>"9783428572915"</f>
        <v>9783428572915</v>
      </c>
    </row>
    <row r="835" spans="1:4" ht="30" x14ac:dyDescent="0.25">
      <c r="A835" s="7" t="s">
        <v>9908</v>
      </c>
      <c r="B835" s="8" t="s">
        <v>9909</v>
      </c>
      <c r="C835" s="8" t="s">
        <v>993</v>
      </c>
      <c r="D835" s="8" t="str">
        <f>"9783839407899"</f>
        <v>9783839407899</v>
      </c>
    </row>
    <row r="836" spans="1:4" ht="30" x14ac:dyDescent="0.25">
      <c r="A836" s="7" t="s">
        <v>11341</v>
      </c>
      <c r="B836" s="8" t="s">
        <v>168</v>
      </c>
      <c r="C836" s="8" t="s">
        <v>355</v>
      </c>
      <c r="D836" s="8" t="str">
        <f>"9783110733495"</f>
        <v>9783110733495</v>
      </c>
    </row>
    <row r="837" spans="1:4" x14ac:dyDescent="0.25">
      <c r="A837" s="7" t="s">
        <v>9604</v>
      </c>
      <c r="B837" s="8" t="s">
        <v>9605</v>
      </c>
      <c r="C837" s="8" t="s">
        <v>9476</v>
      </c>
      <c r="D837" s="8" t="str">
        <f>"9781800104532"</f>
        <v>9781800104532</v>
      </c>
    </row>
    <row r="838" spans="1:4" x14ac:dyDescent="0.25">
      <c r="A838" s="7" t="s">
        <v>9604</v>
      </c>
      <c r="B838" s="8" t="s">
        <v>9605</v>
      </c>
      <c r="C838" s="8" t="s">
        <v>9476</v>
      </c>
      <c r="D838" s="8" t="str">
        <f>"9781800105218"</f>
        <v>9781800105218</v>
      </c>
    </row>
    <row r="839" spans="1:4" ht="30" x14ac:dyDescent="0.25">
      <c r="A839" s="7" t="s">
        <v>7110</v>
      </c>
      <c r="B839" s="8" t="s">
        <v>7111</v>
      </c>
      <c r="C839" s="8" t="s">
        <v>355</v>
      </c>
      <c r="D839" s="8" t="str">
        <f>"9783110611229"</f>
        <v>9783110611229</v>
      </c>
    </row>
    <row r="840" spans="1:4" x14ac:dyDescent="0.25">
      <c r="A840" s="7" t="s">
        <v>1645</v>
      </c>
      <c r="B840" s="8" t="s">
        <v>1646</v>
      </c>
      <c r="C840" s="8" t="s">
        <v>1345</v>
      </c>
      <c r="D840" s="8" t="str">
        <f>"9783862192557"</f>
        <v>9783862192557</v>
      </c>
    </row>
    <row r="841" spans="1:4" ht="30" x14ac:dyDescent="0.25">
      <c r="A841" s="7" t="s">
        <v>6636</v>
      </c>
      <c r="B841" s="8" t="s">
        <v>6637</v>
      </c>
      <c r="C841" s="8" t="s">
        <v>5086</v>
      </c>
      <c r="D841" s="8" t="str">
        <f>"9783658330392"</f>
        <v>9783658330392</v>
      </c>
    </row>
    <row r="842" spans="1:4" ht="30" x14ac:dyDescent="0.25">
      <c r="A842" s="7" t="s">
        <v>5888</v>
      </c>
      <c r="B842" s="8" t="s">
        <v>5889</v>
      </c>
      <c r="C842" s="8" t="s">
        <v>5086</v>
      </c>
      <c r="D842" s="8" t="str">
        <f>"9783658100940"</f>
        <v>9783658100940</v>
      </c>
    </row>
    <row r="843" spans="1:4" ht="45" x14ac:dyDescent="0.25">
      <c r="A843" s="7" t="s">
        <v>8562</v>
      </c>
      <c r="B843" s="8" t="s">
        <v>8563</v>
      </c>
      <c r="C843" s="8" t="s">
        <v>5086</v>
      </c>
      <c r="D843" s="8" t="str">
        <f>"9783658343040"</f>
        <v>9783658343040</v>
      </c>
    </row>
    <row r="844" spans="1:4" x14ac:dyDescent="0.25">
      <c r="A844" s="7" t="s">
        <v>1001</v>
      </c>
      <c r="B844" s="8" t="s">
        <v>994</v>
      </c>
      <c r="C844" s="8" t="s">
        <v>993</v>
      </c>
      <c r="D844" s="8" t="str">
        <f>"9783839413708"</f>
        <v>9783839413708</v>
      </c>
    </row>
    <row r="845" spans="1:4" ht="45" x14ac:dyDescent="0.25">
      <c r="A845" s="7" t="s">
        <v>13004</v>
      </c>
      <c r="B845" s="8" t="s">
        <v>13005</v>
      </c>
      <c r="C845" s="8" t="s">
        <v>12712</v>
      </c>
      <c r="D845" s="8" t="str">
        <f>"9783428465132"</f>
        <v>9783428465132</v>
      </c>
    </row>
    <row r="846" spans="1:4" ht="30" x14ac:dyDescent="0.25">
      <c r="A846" s="7" t="s">
        <v>2631</v>
      </c>
      <c r="B846" s="8" t="s">
        <v>2632</v>
      </c>
      <c r="C846" s="8" t="s">
        <v>1345</v>
      </c>
      <c r="D846" s="8" t="str">
        <f>"9783737600453"</f>
        <v>9783737600453</v>
      </c>
    </row>
    <row r="847" spans="1:4" ht="30" x14ac:dyDescent="0.25">
      <c r="A847" s="7" t="s">
        <v>4561</v>
      </c>
      <c r="B847" s="8" t="s">
        <v>4562</v>
      </c>
      <c r="C847" s="8" t="s">
        <v>562</v>
      </c>
      <c r="D847" s="8" t="str">
        <f>"9781478005674"</f>
        <v>9781478005674</v>
      </c>
    </row>
    <row r="848" spans="1:4" ht="60" x14ac:dyDescent="0.25">
      <c r="A848" s="7" t="s">
        <v>13338</v>
      </c>
      <c r="B848" s="8" t="s">
        <v>191</v>
      </c>
      <c r="C848" s="8" t="s">
        <v>12712</v>
      </c>
      <c r="D848" s="8" t="str">
        <f>"9783428574988"</f>
        <v>9783428574988</v>
      </c>
    </row>
    <row r="849" spans="1:4" x14ac:dyDescent="0.25">
      <c r="A849" s="7" t="s">
        <v>12815</v>
      </c>
      <c r="B849" s="8" t="s">
        <v>12816</v>
      </c>
      <c r="C849" s="8" t="s">
        <v>12712</v>
      </c>
      <c r="D849" s="8" t="str">
        <f>"9783428428144"</f>
        <v>9783428428144</v>
      </c>
    </row>
    <row r="850" spans="1:4" ht="45" x14ac:dyDescent="0.25">
      <c r="A850" s="7" t="s">
        <v>3763</v>
      </c>
      <c r="B850" s="8" t="s">
        <v>3764</v>
      </c>
      <c r="C850" s="8" t="s">
        <v>1345</v>
      </c>
      <c r="D850" s="8" t="str">
        <f>"9783737604673"</f>
        <v>9783737604673</v>
      </c>
    </row>
    <row r="851" spans="1:4" ht="30" x14ac:dyDescent="0.25">
      <c r="A851" s="7" t="s">
        <v>1371</v>
      </c>
      <c r="B851" s="8" t="s">
        <v>1372</v>
      </c>
      <c r="C851" s="8" t="s">
        <v>1345</v>
      </c>
      <c r="D851" s="8" t="str">
        <f>"9783862190096"</f>
        <v>9783862190096</v>
      </c>
    </row>
    <row r="852" spans="1:4" x14ac:dyDescent="0.25">
      <c r="A852" s="7" t="s">
        <v>2937</v>
      </c>
      <c r="B852" s="8" t="s">
        <v>2938</v>
      </c>
      <c r="C852" s="8" t="s">
        <v>1345</v>
      </c>
      <c r="D852" s="8" t="str">
        <f>"9783737602457"</f>
        <v>9783737602457</v>
      </c>
    </row>
    <row r="853" spans="1:4" x14ac:dyDescent="0.25">
      <c r="A853" s="7" t="s">
        <v>3443</v>
      </c>
      <c r="B853" s="8" t="s">
        <v>2938</v>
      </c>
      <c r="C853" s="8" t="s">
        <v>1345</v>
      </c>
      <c r="D853" s="8" t="str">
        <f>"9783737603997"</f>
        <v>9783737603997</v>
      </c>
    </row>
    <row r="854" spans="1:4" x14ac:dyDescent="0.25">
      <c r="A854" s="7" t="s">
        <v>8689</v>
      </c>
      <c r="B854" s="8" t="s">
        <v>8690</v>
      </c>
      <c r="C854" s="8" t="s">
        <v>2273</v>
      </c>
      <c r="D854" s="8" t="str">
        <f>"9783030786823"</f>
        <v>9783030786823</v>
      </c>
    </row>
    <row r="855" spans="1:4" x14ac:dyDescent="0.25">
      <c r="A855" s="7" t="s">
        <v>11646</v>
      </c>
      <c r="B855" s="8" t="s">
        <v>7393</v>
      </c>
      <c r="C855" s="8" t="s">
        <v>355</v>
      </c>
      <c r="D855" s="8" t="str">
        <f>"9783110725049"</f>
        <v>9783110725049</v>
      </c>
    </row>
    <row r="856" spans="1:4" ht="30" x14ac:dyDescent="0.25">
      <c r="A856" s="7" t="s">
        <v>7417</v>
      </c>
      <c r="B856" s="8" t="s">
        <v>7418</v>
      </c>
      <c r="C856" s="8" t="s">
        <v>2273</v>
      </c>
      <c r="D856" s="8" t="str">
        <f>"9783030774899"</f>
        <v>9783030774899</v>
      </c>
    </row>
    <row r="857" spans="1:4" ht="30" x14ac:dyDescent="0.25">
      <c r="A857" s="7" t="s">
        <v>10544</v>
      </c>
      <c r="B857" s="8" t="s">
        <v>10545</v>
      </c>
      <c r="C857" s="8" t="s">
        <v>993</v>
      </c>
      <c r="D857" s="8" t="str">
        <f>"9783839459591"</f>
        <v>9783839459591</v>
      </c>
    </row>
    <row r="858" spans="1:4" ht="60" x14ac:dyDescent="0.25">
      <c r="A858" s="7" t="s">
        <v>1128</v>
      </c>
      <c r="B858" s="8" t="s">
        <v>1129</v>
      </c>
      <c r="C858" s="8" t="s">
        <v>316</v>
      </c>
      <c r="D858" s="8" t="str">
        <f>"9783110874891"</f>
        <v>9783110874891</v>
      </c>
    </row>
    <row r="859" spans="1:4" ht="30" x14ac:dyDescent="0.25">
      <c r="A859" s="7" t="s">
        <v>14549</v>
      </c>
      <c r="B859" s="8" t="s">
        <v>14550</v>
      </c>
      <c r="C859" s="8" t="s">
        <v>1865</v>
      </c>
      <c r="D859" s="8" t="str">
        <f>"9789179295325"</f>
        <v>9789179295325</v>
      </c>
    </row>
    <row r="860" spans="1:4" x14ac:dyDescent="0.25">
      <c r="A860" s="7" t="s">
        <v>9700</v>
      </c>
      <c r="B860" s="8" t="s">
        <v>7593</v>
      </c>
      <c r="C860" s="8" t="s">
        <v>993</v>
      </c>
      <c r="D860" s="8" t="str">
        <f>"9783839401996"</f>
        <v>9783839401996</v>
      </c>
    </row>
    <row r="861" spans="1:4" ht="30" x14ac:dyDescent="0.25">
      <c r="A861" s="7" t="s">
        <v>13694</v>
      </c>
      <c r="B861" s="8" t="s">
        <v>13695</v>
      </c>
      <c r="C861" s="8" t="s">
        <v>993</v>
      </c>
      <c r="D861" s="8" t="str">
        <f>"9783839458464"</f>
        <v>9783839458464</v>
      </c>
    </row>
    <row r="862" spans="1:4" x14ac:dyDescent="0.25">
      <c r="A862" s="7" t="s">
        <v>2113</v>
      </c>
      <c r="B862" s="8" t="s">
        <v>2114</v>
      </c>
      <c r="C862" s="8" t="s">
        <v>1345</v>
      </c>
      <c r="D862" s="8" t="str">
        <f>"9783862199617"</f>
        <v>9783862199617</v>
      </c>
    </row>
    <row r="863" spans="1:4" ht="30" x14ac:dyDescent="0.25">
      <c r="A863" s="7" t="s">
        <v>4014</v>
      </c>
      <c r="B863" s="8" t="s">
        <v>4015</v>
      </c>
      <c r="C863" s="8" t="s">
        <v>1345</v>
      </c>
      <c r="D863" s="8" t="str">
        <f>"9783737605052"</f>
        <v>9783737605052</v>
      </c>
    </row>
    <row r="864" spans="1:4" ht="30" x14ac:dyDescent="0.25">
      <c r="A864" s="7" t="s">
        <v>4599</v>
      </c>
      <c r="B864" s="8" t="s">
        <v>4600</v>
      </c>
      <c r="C864" s="8" t="s">
        <v>1345</v>
      </c>
      <c r="D864" s="8" t="str">
        <f>"9783737607278"</f>
        <v>9783737607278</v>
      </c>
    </row>
    <row r="865" spans="1:4" ht="30" x14ac:dyDescent="0.25">
      <c r="A865" s="7" t="s">
        <v>5085</v>
      </c>
      <c r="B865" s="8" t="s">
        <v>5087</v>
      </c>
      <c r="C865" s="8" t="s">
        <v>5086</v>
      </c>
      <c r="D865" s="8" t="str">
        <f>"9783658308407"</f>
        <v>9783658308407</v>
      </c>
    </row>
    <row r="866" spans="1:4" ht="30" x14ac:dyDescent="0.25">
      <c r="A866" s="7" t="s">
        <v>7114</v>
      </c>
      <c r="B866" s="8" t="s">
        <v>63</v>
      </c>
      <c r="C866" s="8" t="s">
        <v>355</v>
      </c>
      <c r="D866" s="8" t="str">
        <f>"9783110664546"</f>
        <v>9783110664546</v>
      </c>
    </row>
    <row r="867" spans="1:4" x14ac:dyDescent="0.25">
      <c r="A867" s="7" t="s">
        <v>12251</v>
      </c>
      <c r="B867" s="8" t="s">
        <v>12252</v>
      </c>
      <c r="C867" s="8" t="s">
        <v>993</v>
      </c>
      <c r="D867" s="8" t="str">
        <f>"9783839431191"</f>
        <v>9783839431191</v>
      </c>
    </row>
    <row r="868" spans="1:4" ht="30" x14ac:dyDescent="0.25">
      <c r="A868" s="7" t="s">
        <v>13516</v>
      </c>
      <c r="B868" s="8" t="s">
        <v>13517</v>
      </c>
      <c r="C868" s="8" t="s">
        <v>2273</v>
      </c>
      <c r="D868" s="8" t="str">
        <f>"9783031098574"</f>
        <v>9783031098574</v>
      </c>
    </row>
    <row r="869" spans="1:4" x14ac:dyDescent="0.25">
      <c r="A869" s="7" t="s">
        <v>11986</v>
      </c>
      <c r="B869" s="8" t="s">
        <v>11987</v>
      </c>
      <c r="C869" s="8" t="s">
        <v>5608</v>
      </c>
      <c r="D869" s="8" t="str">
        <f>"9789462655317"</f>
        <v>9789462655317</v>
      </c>
    </row>
    <row r="870" spans="1:4" ht="30" x14ac:dyDescent="0.25">
      <c r="A870" s="7" t="s">
        <v>11300</v>
      </c>
      <c r="B870" s="8" t="s">
        <v>11301</v>
      </c>
      <c r="C870" s="8" t="s">
        <v>355</v>
      </c>
      <c r="D870" s="8" t="str">
        <f>"9783110748833"</f>
        <v>9783110748833</v>
      </c>
    </row>
    <row r="871" spans="1:4" x14ac:dyDescent="0.25">
      <c r="A871" s="7" t="s">
        <v>10794</v>
      </c>
      <c r="B871" s="8" t="s">
        <v>10795</v>
      </c>
      <c r="C871" s="8" t="s">
        <v>1876</v>
      </c>
      <c r="D871" s="8" t="str">
        <f>"9781925495126"</f>
        <v>9781925495126</v>
      </c>
    </row>
    <row r="872" spans="1:4" ht="30" x14ac:dyDescent="0.25">
      <c r="A872" s="7" t="s">
        <v>14426</v>
      </c>
      <c r="B872" s="8" t="s">
        <v>14427</v>
      </c>
      <c r="C872" s="8" t="s">
        <v>1865</v>
      </c>
      <c r="D872" s="8" t="str">
        <f>"9789179293314"</f>
        <v>9789179293314</v>
      </c>
    </row>
    <row r="873" spans="1:4" x14ac:dyDescent="0.25">
      <c r="A873" s="7" t="s">
        <v>12462</v>
      </c>
      <c r="B873" s="8" t="s">
        <v>12463</v>
      </c>
      <c r="C873" s="8" t="s">
        <v>2785</v>
      </c>
      <c r="D873" s="8" t="str">
        <f>"9789811931550"</f>
        <v>9789811931550</v>
      </c>
    </row>
    <row r="874" spans="1:4" x14ac:dyDescent="0.25">
      <c r="A874" s="7" t="s">
        <v>1941</v>
      </c>
      <c r="B874" s="8" t="s">
        <v>1942</v>
      </c>
      <c r="C874" s="8" t="s">
        <v>1879</v>
      </c>
      <c r="D874" s="8" t="str">
        <f>"9781783740147"</f>
        <v>9781783740147</v>
      </c>
    </row>
    <row r="875" spans="1:4" x14ac:dyDescent="0.25">
      <c r="A875" s="7" t="s">
        <v>4634</v>
      </c>
      <c r="B875" s="8" t="s">
        <v>1291</v>
      </c>
      <c r="C875" s="8" t="s">
        <v>1224</v>
      </c>
      <c r="D875" s="8" t="str">
        <f>"9781644691304"</f>
        <v>9781644691304</v>
      </c>
    </row>
    <row r="876" spans="1:4" x14ac:dyDescent="0.25">
      <c r="A876" s="7" t="s">
        <v>5418</v>
      </c>
      <c r="B876" s="8" t="s">
        <v>5417</v>
      </c>
      <c r="C876" s="8" t="s">
        <v>2273</v>
      </c>
      <c r="D876" s="8" t="str">
        <f>"9783030496791"</f>
        <v>9783030496791</v>
      </c>
    </row>
    <row r="877" spans="1:4" x14ac:dyDescent="0.25">
      <c r="A877" s="7" t="s">
        <v>5416</v>
      </c>
      <c r="B877" s="8" t="s">
        <v>5417</v>
      </c>
      <c r="C877" s="8" t="s">
        <v>2273</v>
      </c>
      <c r="D877" s="8" t="str">
        <f>"9783030496838"</f>
        <v>9783030496838</v>
      </c>
    </row>
    <row r="878" spans="1:4" x14ac:dyDescent="0.25">
      <c r="A878" s="7" t="s">
        <v>12322</v>
      </c>
      <c r="B878" s="8" t="s">
        <v>12323</v>
      </c>
      <c r="C878" s="8" t="s">
        <v>993</v>
      </c>
      <c r="D878" s="8" t="str">
        <f>"9783839461303"</f>
        <v>9783839461303</v>
      </c>
    </row>
    <row r="879" spans="1:4" x14ac:dyDescent="0.25">
      <c r="A879" s="7" t="s">
        <v>2372</v>
      </c>
      <c r="B879" s="8" t="s">
        <v>1882</v>
      </c>
      <c r="C879" s="8" t="s">
        <v>1879</v>
      </c>
      <c r="D879" s="8" t="str">
        <f>"9781783741694"</f>
        <v>9781783741694</v>
      </c>
    </row>
    <row r="880" spans="1:4" x14ac:dyDescent="0.25">
      <c r="A880" s="7" t="s">
        <v>3824</v>
      </c>
      <c r="B880" s="8" t="s">
        <v>3825</v>
      </c>
      <c r="C880" s="8" t="s">
        <v>355</v>
      </c>
      <c r="D880" s="8" t="str">
        <f>"9783110448184"</f>
        <v>9783110448184</v>
      </c>
    </row>
    <row r="881" spans="1:4" x14ac:dyDescent="0.25">
      <c r="A881" s="7" t="s">
        <v>5349</v>
      </c>
      <c r="B881" s="8" t="s">
        <v>195</v>
      </c>
      <c r="C881" s="8" t="s">
        <v>2273</v>
      </c>
      <c r="D881" s="8" t="str">
        <f>"9783319655277"</f>
        <v>9783319655277</v>
      </c>
    </row>
    <row r="882" spans="1:4" x14ac:dyDescent="0.25">
      <c r="A882" s="7" t="s">
        <v>6172</v>
      </c>
      <c r="B882" s="8" t="s">
        <v>6173</v>
      </c>
      <c r="C882" s="8" t="s">
        <v>5107</v>
      </c>
      <c r="D882" s="8" t="str">
        <f>"9784431545590"</f>
        <v>9784431545590</v>
      </c>
    </row>
    <row r="883" spans="1:4" x14ac:dyDescent="0.25">
      <c r="A883" s="7" t="s">
        <v>7802</v>
      </c>
      <c r="B883" s="8" t="s">
        <v>7803</v>
      </c>
      <c r="C883" s="8" t="s">
        <v>2082</v>
      </c>
      <c r="D883" s="8" t="str">
        <f>"9780472902415"</f>
        <v>9780472902415</v>
      </c>
    </row>
    <row r="884" spans="1:4" x14ac:dyDescent="0.25">
      <c r="A884" s="7" t="s">
        <v>8518</v>
      </c>
      <c r="B884" s="8" t="s">
        <v>8519</v>
      </c>
      <c r="C884" s="8" t="s">
        <v>993</v>
      </c>
      <c r="D884" s="8" t="str">
        <f>"9783839453520"</f>
        <v>9783839453520</v>
      </c>
    </row>
    <row r="885" spans="1:4" x14ac:dyDescent="0.25">
      <c r="A885" s="7" t="s">
        <v>1050</v>
      </c>
      <c r="B885" s="8" t="s">
        <v>1051</v>
      </c>
      <c r="C885" s="8" t="s">
        <v>227</v>
      </c>
      <c r="D885" s="8" t="str">
        <f>"9781847791009"</f>
        <v>9781847791009</v>
      </c>
    </row>
    <row r="886" spans="1:4" x14ac:dyDescent="0.25">
      <c r="A886" s="7" t="s">
        <v>1487</v>
      </c>
      <c r="B886" s="8" t="s">
        <v>1488</v>
      </c>
      <c r="C886" s="8" t="s">
        <v>1345</v>
      </c>
      <c r="D886" s="8" t="str">
        <f>"9783862194094"</f>
        <v>9783862194094</v>
      </c>
    </row>
    <row r="887" spans="1:4" ht="45" x14ac:dyDescent="0.25">
      <c r="A887" s="7" t="s">
        <v>11673</v>
      </c>
      <c r="B887" s="8" t="s">
        <v>11674</v>
      </c>
      <c r="C887" s="8" t="s">
        <v>355</v>
      </c>
      <c r="D887" s="8" t="str">
        <f>"9783486708608"</f>
        <v>9783486708608</v>
      </c>
    </row>
    <row r="888" spans="1:4" x14ac:dyDescent="0.25">
      <c r="A888" s="7" t="s">
        <v>2987</v>
      </c>
      <c r="B888" s="8" t="s">
        <v>2988</v>
      </c>
      <c r="C888" s="8" t="s">
        <v>355</v>
      </c>
      <c r="D888" s="8" t="str">
        <f>"9783110800463"</f>
        <v>9783110800463</v>
      </c>
    </row>
    <row r="889" spans="1:4" ht="30" x14ac:dyDescent="0.25">
      <c r="A889" s="7" t="s">
        <v>11704</v>
      </c>
      <c r="B889" s="8" t="s">
        <v>11705</v>
      </c>
      <c r="C889" s="8" t="s">
        <v>355</v>
      </c>
      <c r="D889" s="8" t="str">
        <f>"9783110553796"</f>
        <v>9783110553796</v>
      </c>
    </row>
    <row r="890" spans="1:4" x14ac:dyDescent="0.25">
      <c r="A890" s="7" t="s">
        <v>531</v>
      </c>
      <c r="B890" s="8" t="s">
        <v>532</v>
      </c>
      <c r="C890" s="8" t="s">
        <v>355</v>
      </c>
      <c r="D890" s="8" t="str">
        <f>"9783110310511"</f>
        <v>9783110310511</v>
      </c>
    </row>
    <row r="891" spans="1:4" ht="30" x14ac:dyDescent="0.25">
      <c r="A891" s="7" t="s">
        <v>4589</v>
      </c>
      <c r="B891" s="8" t="s">
        <v>4590</v>
      </c>
      <c r="C891" s="8" t="s">
        <v>1345</v>
      </c>
      <c r="D891" s="8" t="str">
        <f>"9783737607032"</f>
        <v>9783737607032</v>
      </c>
    </row>
    <row r="892" spans="1:4" x14ac:dyDescent="0.25">
      <c r="A892" s="7" t="s">
        <v>9660</v>
      </c>
      <c r="B892" s="8" t="s">
        <v>165</v>
      </c>
      <c r="C892" s="8" t="s">
        <v>5134</v>
      </c>
      <c r="D892" s="8" t="str">
        <f>"9783662649343"</f>
        <v>9783662649343</v>
      </c>
    </row>
    <row r="893" spans="1:4" ht="30" x14ac:dyDescent="0.25">
      <c r="A893" s="7" t="s">
        <v>10993</v>
      </c>
      <c r="B893" s="8" t="s">
        <v>10994</v>
      </c>
      <c r="C893" s="8" t="s">
        <v>1865</v>
      </c>
      <c r="D893" s="8" t="str">
        <f>"9789179293635"</f>
        <v>9789179293635</v>
      </c>
    </row>
    <row r="894" spans="1:4" ht="30" x14ac:dyDescent="0.25">
      <c r="A894" s="7" t="s">
        <v>10651</v>
      </c>
      <c r="B894" s="8" t="s">
        <v>10652</v>
      </c>
      <c r="C894" s="8" t="s">
        <v>2273</v>
      </c>
      <c r="D894" s="8" t="str">
        <f>"9783030945909"</f>
        <v>9783030945909</v>
      </c>
    </row>
    <row r="895" spans="1:4" x14ac:dyDescent="0.25">
      <c r="A895" s="7" t="s">
        <v>7794</v>
      </c>
      <c r="B895" s="8" t="s">
        <v>7795</v>
      </c>
      <c r="C895" s="8" t="s">
        <v>2273</v>
      </c>
      <c r="D895" s="8" t="str">
        <f>"9783030710699"</f>
        <v>9783030710699</v>
      </c>
    </row>
    <row r="896" spans="1:4" x14ac:dyDescent="0.25">
      <c r="A896" s="7" t="s">
        <v>2257</v>
      </c>
      <c r="B896" s="8" t="s">
        <v>2258</v>
      </c>
      <c r="C896" s="8" t="s">
        <v>316</v>
      </c>
      <c r="D896" s="8" t="str">
        <f>"9783110266344"</f>
        <v>9783110266344</v>
      </c>
    </row>
    <row r="897" spans="1:4" x14ac:dyDescent="0.25">
      <c r="A897" s="7" t="s">
        <v>11830</v>
      </c>
      <c r="B897" s="8" t="s">
        <v>176</v>
      </c>
      <c r="C897" s="8" t="s">
        <v>355</v>
      </c>
      <c r="D897" s="8" t="str">
        <f>"9783110604337"</f>
        <v>9783110604337</v>
      </c>
    </row>
    <row r="898" spans="1:4" ht="30" x14ac:dyDescent="0.25">
      <c r="A898" s="7" t="s">
        <v>12126</v>
      </c>
      <c r="B898" s="8" t="s">
        <v>12127</v>
      </c>
      <c r="C898" s="8" t="s">
        <v>355</v>
      </c>
      <c r="D898" s="8" t="str">
        <f>"9783110775730"</f>
        <v>9783110775730</v>
      </c>
    </row>
    <row r="899" spans="1:4" ht="30" x14ac:dyDescent="0.25">
      <c r="A899" s="7" t="s">
        <v>11418</v>
      </c>
      <c r="B899" s="8" t="s">
        <v>11419</v>
      </c>
      <c r="C899" s="8" t="s">
        <v>355</v>
      </c>
      <c r="D899" s="8" t="str">
        <f>"9783110674194"</f>
        <v>9783110674194</v>
      </c>
    </row>
    <row r="900" spans="1:4" x14ac:dyDescent="0.25">
      <c r="A900" s="7" t="s">
        <v>458</v>
      </c>
      <c r="B900" s="8" t="s">
        <v>459</v>
      </c>
      <c r="C900" s="8" t="s">
        <v>316</v>
      </c>
      <c r="D900" s="8" t="str">
        <f>"9783110254068"</f>
        <v>9783110254068</v>
      </c>
    </row>
    <row r="901" spans="1:4" ht="30" x14ac:dyDescent="0.25">
      <c r="A901" s="7" t="s">
        <v>8329</v>
      </c>
      <c r="B901" s="8" t="s">
        <v>8330</v>
      </c>
      <c r="C901" s="8" t="s">
        <v>993</v>
      </c>
      <c r="D901" s="8" t="str">
        <f>"9783839449981"</f>
        <v>9783839449981</v>
      </c>
    </row>
    <row r="902" spans="1:4" ht="30" x14ac:dyDescent="0.25">
      <c r="A902" s="7" t="s">
        <v>2953</v>
      </c>
      <c r="B902" s="8" t="s">
        <v>2954</v>
      </c>
      <c r="C902" s="8" t="s">
        <v>993</v>
      </c>
      <c r="D902" s="8" t="str">
        <f>"9783839434505"</f>
        <v>9783839434505</v>
      </c>
    </row>
    <row r="903" spans="1:4" ht="30" x14ac:dyDescent="0.25">
      <c r="A903" s="7" t="s">
        <v>1057</v>
      </c>
      <c r="B903" s="8" t="s">
        <v>18</v>
      </c>
      <c r="C903" s="8" t="s">
        <v>316</v>
      </c>
      <c r="D903" s="8" t="str">
        <f>"9783110921724"</f>
        <v>9783110921724</v>
      </c>
    </row>
    <row r="904" spans="1:4" x14ac:dyDescent="0.25">
      <c r="A904" s="7" t="s">
        <v>12997</v>
      </c>
      <c r="B904" s="8" t="s">
        <v>12998</v>
      </c>
      <c r="C904" s="8" t="s">
        <v>12712</v>
      </c>
      <c r="D904" s="8" t="str">
        <f>"9783428464272"</f>
        <v>9783428464272</v>
      </c>
    </row>
    <row r="905" spans="1:4" x14ac:dyDescent="0.25">
      <c r="A905" s="7" t="s">
        <v>10501</v>
      </c>
      <c r="B905" s="8" t="s">
        <v>154</v>
      </c>
      <c r="C905" s="8" t="s">
        <v>993</v>
      </c>
      <c r="D905" s="8" t="str">
        <f>"9783839458266"</f>
        <v>9783839458266</v>
      </c>
    </row>
    <row r="906" spans="1:4" ht="30" x14ac:dyDescent="0.25">
      <c r="A906" s="7" t="s">
        <v>8431</v>
      </c>
      <c r="B906" s="8" t="s">
        <v>8432</v>
      </c>
      <c r="C906" s="8" t="s">
        <v>993</v>
      </c>
      <c r="D906" s="8" t="str">
        <f>"9783839444856"</f>
        <v>9783839444856</v>
      </c>
    </row>
    <row r="907" spans="1:4" x14ac:dyDescent="0.25">
      <c r="A907" s="7" t="s">
        <v>11233</v>
      </c>
      <c r="B907" s="8" t="s">
        <v>11234</v>
      </c>
      <c r="C907" s="8" t="s">
        <v>355</v>
      </c>
      <c r="D907" s="8" t="str">
        <f>"9783110671827"</f>
        <v>9783110671827</v>
      </c>
    </row>
    <row r="908" spans="1:4" ht="30" x14ac:dyDescent="0.25">
      <c r="A908" s="7" t="s">
        <v>6141</v>
      </c>
      <c r="B908" s="8" t="s">
        <v>84</v>
      </c>
      <c r="C908" s="8" t="s">
        <v>5086</v>
      </c>
      <c r="D908" s="8" t="str">
        <f>"9783658169817"</f>
        <v>9783658169817</v>
      </c>
    </row>
    <row r="909" spans="1:4" x14ac:dyDescent="0.25">
      <c r="A909" s="7" t="s">
        <v>11377</v>
      </c>
      <c r="B909" s="8" t="s">
        <v>11378</v>
      </c>
      <c r="C909" s="8" t="s">
        <v>355</v>
      </c>
      <c r="D909" s="8" t="str">
        <f>"9783110715293"</f>
        <v>9783110715293</v>
      </c>
    </row>
    <row r="910" spans="1:4" ht="30" x14ac:dyDescent="0.25">
      <c r="A910" s="7" t="s">
        <v>1012</v>
      </c>
      <c r="B910" s="8" t="s">
        <v>1013</v>
      </c>
      <c r="C910" s="8" t="s">
        <v>697</v>
      </c>
      <c r="D910" s="8" t="str">
        <f>"9789004289635"</f>
        <v>9789004289635</v>
      </c>
    </row>
    <row r="911" spans="1:4" x14ac:dyDescent="0.25">
      <c r="A911" s="7" t="s">
        <v>7826</v>
      </c>
      <c r="B911" s="8" t="s">
        <v>157</v>
      </c>
      <c r="C911" s="8" t="s">
        <v>5086</v>
      </c>
      <c r="D911" s="8" t="str">
        <f>"9783658347666"</f>
        <v>9783658347666</v>
      </c>
    </row>
    <row r="912" spans="1:4" ht="30" x14ac:dyDescent="0.25">
      <c r="A912" s="7" t="s">
        <v>4294</v>
      </c>
      <c r="B912" s="8" t="s">
        <v>4295</v>
      </c>
      <c r="C912" s="8" t="s">
        <v>1345</v>
      </c>
      <c r="D912" s="8" t="str">
        <f>"9783737605953"</f>
        <v>9783737605953</v>
      </c>
    </row>
    <row r="913" spans="1:4" ht="30" x14ac:dyDescent="0.25">
      <c r="A913" s="7" t="s">
        <v>14957</v>
      </c>
      <c r="B913" s="8" t="s">
        <v>14958</v>
      </c>
      <c r="C913" s="8" t="s">
        <v>1865</v>
      </c>
      <c r="D913" s="8" t="str">
        <f>"9789176858240"</f>
        <v>9789176858240</v>
      </c>
    </row>
    <row r="914" spans="1:4" x14ac:dyDescent="0.25">
      <c r="A914" s="7" t="s">
        <v>16086</v>
      </c>
      <c r="B914" s="8" t="s">
        <v>16087</v>
      </c>
      <c r="C914" s="8" t="s">
        <v>1865</v>
      </c>
      <c r="D914" s="8" t="str">
        <f>"9789175197371"</f>
        <v>9789175197371</v>
      </c>
    </row>
    <row r="915" spans="1:4" x14ac:dyDescent="0.25">
      <c r="A915" s="7" t="s">
        <v>930</v>
      </c>
      <c r="B915" s="8" t="s">
        <v>931</v>
      </c>
      <c r="C915" s="8" t="s">
        <v>355</v>
      </c>
      <c r="D915" s="8" t="str">
        <f>"9783110411331"</f>
        <v>9783110411331</v>
      </c>
    </row>
    <row r="916" spans="1:4" x14ac:dyDescent="0.25">
      <c r="A916" s="7" t="s">
        <v>5465</v>
      </c>
      <c r="B916" s="8" t="s">
        <v>5443</v>
      </c>
      <c r="C916" s="8" t="s">
        <v>5064</v>
      </c>
      <c r="D916" s="8" t="str">
        <f>"9789814295291"</f>
        <v>9789814295291</v>
      </c>
    </row>
    <row r="917" spans="1:4" x14ac:dyDescent="0.25">
      <c r="A917" s="7" t="s">
        <v>5464</v>
      </c>
      <c r="B917" s="8" t="s">
        <v>5443</v>
      </c>
      <c r="C917" s="8" t="s">
        <v>5064</v>
      </c>
      <c r="D917" s="8" t="str">
        <f>"9789814335058"</f>
        <v>9789814335058</v>
      </c>
    </row>
    <row r="918" spans="1:4" x14ac:dyDescent="0.25">
      <c r="A918" s="7" t="s">
        <v>5461</v>
      </c>
      <c r="B918" s="8" t="s">
        <v>5462</v>
      </c>
      <c r="C918" s="8" t="s">
        <v>5064</v>
      </c>
      <c r="D918" s="8" t="str">
        <f>"9789814366496"</f>
        <v>9789814366496</v>
      </c>
    </row>
    <row r="919" spans="1:4" x14ac:dyDescent="0.25">
      <c r="A919" s="7" t="s">
        <v>5463</v>
      </c>
      <c r="B919" s="8" t="s">
        <v>5443</v>
      </c>
      <c r="C919" s="8" t="s">
        <v>5064</v>
      </c>
      <c r="D919" s="8" t="str">
        <f>"9789814447973"</f>
        <v>9789814447973</v>
      </c>
    </row>
    <row r="920" spans="1:4" x14ac:dyDescent="0.25">
      <c r="A920" s="7" t="s">
        <v>5444</v>
      </c>
      <c r="B920" s="8" t="s">
        <v>5443</v>
      </c>
      <c r="C920" s="8" t="s">
        <v>5064</v>
      </c>
      <c r="D920" s="8" t="str">
        <f>"9789814749411"</f>
        <v>9789814749411</v>
      </c>
    </row>
    <row r="921" spans="1:4" x14ac:dyDescent="0.25">
      <c r="A921" s="7" t="s">
        <v>5442</v>
      </c>
      <c r="B921" s="8" t="s">
        <v>5443</v>
      </c>
      <c r="C921" s="8" t="s">
        <v>5064</v>
      </c>
      <c r="D921" s="8" t="str">
        <f>"9789813207813"</f>
        <v>9789813207813</v>
      </c>
    </row>
    <row r="922" spans="1:4" x14ac:dyDescent="0.25">
      <c r="A922" s="7" t="s">
        <v>5454</v>
      </c>
      <c r="B922" s="8" t="s">
        <v>5443</v>
      </c>
      <c r="C922" s="8" t="s">
        <v>5064</v>
      </c>
      <c r="D922" s="8" t="str">
        <f>"9789813235533"</f>
        <v>9789813235533</v>
      </c>
    </row>
    <row r="923" spans="1:4" x14ac:dyDescent="0.25">
      <c r="A923" s="7" t="s">
        <v>5460</v>
      </c>
      <c r="B923" s="8" t="s">
        <v>5443</v>
      </c>
      <c r="C923" s="8" t="s">
        <v>5064</v>
      </c>
      <c r="D923" s="8" t="str">
        <f>"9789813279827"</f>
        <v>9789813279827</v>
      </c>
    </row>
    <row r="924" spans="1:4" x14ac:dyDescent="0.25">
      <c r="A924" s="7" t="s">
        <v>5449</v>
      </c>
      <c r="B924" s="8" t="s">
        <v>5443</v>
      </c>
      <c r="C924" s="8" t="s">
        <v>5064</v>
      </c>
      <c r="D924" s="8" t="str">
        <f>"9789811215636"</f>
        <v>9789811215636</v>
      </c>
    </row>
    <row r="925" spans="1:4" x14ac:dyDescent="0.25">
      <c r="A925" s="7" t="s">
        <v>8559</v>
      </c>
      <c r="B925" s="8" t="s">
        <v>5443</v>
      </c>
      <c r="C925" s="8" t="s">
        <v>5064</v>
      </c>
      <c r="D925" s="8" t="str">
        <f>"9789811232701"</f>
        <v>9789811232701</v>
      </c>
    </row>
    <row r="926" spans="1:4" x14ac:dyDescent="0.25">
      <c r="A926" s="7" t="s">
        <v>8789</v>
      </c>
      <c r="B926" s="8" t="s">
        <v>5443</v>
      </c>
      <c r="C926" s="8" t="s">
        <v>5064</v>
      </c>
      <c r="D926" s="8" t="str">
        <f>"9789811250477"</f>
        <v>9789811250477</v>
      </c>
    </row>
    <row r="927" spans="1:4" x14ac:dyDescent="0.25">
      <c r="A927" s="7" t="s">
        <v>3838</v>
      </c>
      <c r="B927" s="8" t="s">
        <v>3839</v>
      </c>
      <c r="C927" s="8" t="s">
        <v>355</v>
      </c>
      <c r="D927" s="8" t="str">
        <f>"9783110480849"</f>
        <v>9783110480849</v>
      </c>
    </row>
    <row r="928" spans="1:4" x14ac:dyDescent="0.25">
      <c r="A928" s="7" t="s">
        <v>13499</v>
      </c>
      <c r="B928" s="8" t="s">
        <v>13500</v>
      </c>
      <c r="C928" s="8" t="s">
        <v>2273</v>
      </c>
      <c r="D928" s="8" t="str">
        <f>"9783031061530"</f>
        <v>9783031061530</v>
      </c>
    </row>
    <row r="929" spans="1:4" ht="30" x14ac:dyDescent="0.25">
      <c r="A929" s="7" t="s">
        <v>6922</v>
      </c>
      <c r="B929" s="8" t="s">
        <v>6923</v>
      </c>
      <c r="C929" s="8" t="s">
        <v>2273</v>
      </c>
      <c r="D929" s="8" t="str">
        <f>"9783030689445"</f>
        <v>9783030689445</v>
      </c>
    </row>
    <row r="930" spans="1:4" ht="30" x14ac:dyDescent="0.25">
      <c r="A930" s="7" t="s">
        <v>8006</v>
      </c>
      <c r="B930" s="8" t="s">
        <v>48</v>
      </c>
      <c r="C930" s="8" t="s">
        <v>1962</v>
      </c>
      <c r="D930" s="8" t="str">
        <f>"9782759228355"</f>
        <v>9782759228355</v>
      </c>
    </row>
    <row r="931" spans="1:4" ht="30" x14ac:dyDescent="0.25">
      <c r="A931" s="7" t="s">
        <v>1365</v>
      </c>
      <c r="B931" s="8" t="s">
        <v>1366</v>
      </c>
      <c r="C931" s="8" t="s">
        <v>1345</v>
      </c>
      <c r="D931" s="8" t="str">
        <f>"9783899587999"</f>
        <v>9783899587999</v>
      </c>
    </row>
    <row r="932" spans="1:4" ht="30" x14ac:dyDescent="0.25">
      <c r="A932" s="7" t="s">
        <v>12423</v>
      </c>
      <c r="B932" s="8" t="s">
        <v>12424</v>
      </c>
      <c r="C932" s="8" t="s">
        <v>2273</v>
      </c>
      <c r="D932" s="8" t="str">
        <f>"9783031019876"</f>
        <v>9783031019876</v>
      </c>
    </row>
    <row r="933" spans="1:4" ht="30" x14ac:dyDescent="0.25">
      <c r="A933" s="7" t="s">
        <v>1689</v>
      </c>
      <c r="B933" s="8" t="s">
        <v>1690</v>
      </c>
      <c r="C933" s="8" t="s">
        <v>1345</v>
      </c>
      <c r="D933" s="8" t="str">
        <f>"9783862191710"</f>
        <v>9783862191710</v>
      </c>
    </row>
    <row r="934" spans="1:4" x14ac:dyDescent="0.25">
      <c r="A934" s="7" t="s">
        <v>3027</v>
      </c>
      <c r="B934" s="8" t="s">
        <v>1712</v>
      </c>
      <c r="C934" s="8" t="s">
        <v>1345</v>
      </c>
      <c r="D934" s="8" t="str">
        <f>"9783737601030"</f>
        <v>9783737601030</v>
      </c>
    </row>
    <row r="935" spans="1:4" ht="30" x14ac:dyDescent="0.25">
      <c r="A935" s="7" t="s">
        <v>9902</v>
      </c>
      <c r="B935" s="8" t="s">
        <v>9903</v>
      </c>
      <c r="C935" s="8" t="s">
        <v>993</v>
      </c>
      <c r="D935" s="8" t="str">
        <f>"9783839407677"</f>
        <v>9783839407677</v>
      </c>
    </row>
    <row r="936" spans="1:4" x14ac:dyDescent="0.25">
      <c r="A936" s="7" t="s">
        <v>10566</v>
      </c>
      <c r="B936" s="8" t="s">
        <v>10567</v>
      </c>
      <c r="C936" s="8" t="s">
        <v>993</v>
      </c>
      <c r="D936" s="8" t="str">
        <f>"9783839460047"</f>
        <v>9783839460047</v>
      </c>
    </row>
    <row r="937" spans="1:4" x14ac:dyDescent="0.25">
      <c r="A937" s="7" t="s">
        <v>13414</v>
      </c>
      <c r="B937" s="8" t="s">
        <v>13415</v>
      </c>
      <c r="C937" s="8" t="s">
        <v>2273</v>
      </c>
      <c r="D937" s="8" t="str">
        <f>"9783030763947"</f>
        <v>9783030763947</v>
      </c>
    </row>
    <row r="938" spans="1:4" x14ac:dyDescent="0.25">
      <c r="A938" s="7" t="s">
        <v>15324</v>
      </c>
      <c r="B938" s="8" t="s">
        <v>15325</v>
      </c>
      <c r="C938" s="8" t="s">
        <v>1865</v>
      </c>
      <c r="D938" s="8" t="str">
        <f>"9789175198026"</f>
        <v>9789175198026</v>
      </c>
    </row>
    <row r="939" spans="1:4" x14ac:dyDescent="0.25">
      <c r="A939" s="7" t="s">
        <v>15455</v>
      </c>
      <c r="B939" s="8" t="s">
        <v>15456</v>
      </c>
      <c r="C939" s="8" t="s">
        <v>1865</v>
      </c>
      <c r="D939" s="8" t="str">
        <f>"9789175197456"</f>
        <v>9789175197456</v>
      </c>
    </row>
    <row r="940" spans="1:4" ht="30" x14ac:dyDescent="0.25">
      <c r="A940" s="7" t="s">
        <v>1729</v>
      </c>
      <c r="B940" s="8" t="s">
        <v>1730</v>
      </c>
      <c r="C940" s="8" t="s">
        <v>1345</v>
      </c>
      <c r="D940" s="8" t="str">
        <f>"9783862196739"</f>
        <v>9783862196739</v>
      </c>
    </row>
    <row r="941" spans="1:4" x14ac:dyDescent="0.25">
      <c r="A941" s="7" t="s">
        <v>5466</v>
      </c>
      <c r="B941" s="8" t="s">
        <v>5467</v>
      </c>
      <c r="C941" s="8" t="s">
        <v>5064</v>
      </c>
      <c r="D941" s="8" t="str">
        <f>"9789814508728"</f>
        <v>9789814508728</v>
      </c>
    </row>
    <row r="942" spans="1:4" ht="30" x14ac:dyDescent="0.25">
      <c r="A942" s="7" t="s">
        <v>2311</v>
      </c>
      <c r="B942" s="8" t="s">
        <v>2312</v>
      </c>
      <c r="C942" s="8" t="s">
        <v>355</v>
      </c>
      <c r="D942" s="8" t="str">
        <f>"9783110438666"</f>
        <v>9783110438666</v>
      </c>
    </row>
    <row r="943" spans="1:4" x14ac:dyDescent="0.25">
      <c r="A943" s="7" t="s">
        <v>810</v>
      </c>
      <c r="B943" s="8" t="s">
        <v>811</v>
      </c>
      <c r="C943" s="8" t="s">
        <v>562</v>
      </c>
      <c r="D943" s="8" t="str">
        <f>"9780822378259"</f>
        <v>9780822378259</v>
      </c>
    </row>
    <row r="944" spans="1:4" ht="30" x14ac:dyDescent="0.25">
      <c r="A944" s="7" t="s">
        <v>16057</v>
      </c>
      <c r="B944" s="8" t="s">
        <v>16058</v>
      </c>
      <c r="C944" s="8" t="s">
        <v>1865</v>
      </c>
      <c r="D944" s="8" t="str">
        <f>"9789175198385"</f>
        <v>9789175198385</v>
      </c>
    </row>
    <row r="945" spans="1:4" ht="30" x14ac:dyDescent="0.25">
      <c r="A945" s="7" t="s">
        <v>4666</v>
      </c>
      <c r="B945" s="8" t="s">
        <v>4667</v>
      </c>
      <c r="C945" s="8" t="s">
        <v>1865</v>
      </c>
      <c r="D945" s="8" t="str">
        <f>"9789176850121"</f>
        <v>9789176850121</v>
      </c>
    </row>
    <row r="946" spans="1:4" x14ac:dyDescent="0.25">
      <c r="A946" s="7" t="s">
        <v>9040</v>
      </c>
      <c r="B946" s="8" t="s">
        <v>9041</v>
      </c>
      <c r="C946" s="8" t="s">
        <v>1865</v>
      </c>
      <c r="D946" s="8" t="str">
        <f>"9789179291549"</f>
        <v>9789179291549</v>
      </c>
    </row>
    <row r="947" spans="1:4" ht="30" x14ac:dyDescent="0.25">
      <c r="A947" s="7" t="s">
        <v>14424</v>
      </c>
      <c r="B947" s="8" t="s">
        <v>14425</v>
      </c>
      <c r="C947" s="8" t="s">
        <v>1865</v>
      </c>
      <c r="D947" s="8" t="str">
        <f>"9789179293833"</f>
        <v>9789179293833</v>
      </c>
    </row>
    <row r="948" spans="1:4" x14ac:dyDescent="0.25">
      <c r="A948" s="7" t="s">
        <v>3277</v>
      </c>
      <c r="B948" s="8" t="s">
        <v>3278</v>
      </c>
      <c r="C948" s="8" t="s">
        <v>1865</v>
      </c>
      <c r="D948" s="8" t="str">
        <f>"9789176855096"</f>
        <v>9789176855096</v>
      </c>
    </row>
    <row r="949" spans="1:4" x14ac:dyDescent="0.25">
      <c r="A949" s="7" t="s">
        <v>4395</v>
      </c>
      <c r="B949" s="8" t="s">
        <v>4396</v>
      </c>
      <c r="C949" s="8" t="s">
        <v>1865</v>
      </c>
      <c r="D949" s="8" t="str">
        <f>"9789176851050"</f>
        <v>9789176851050</v>
      </c>
    </row>
    <row r="950" spans="1:4" x14ac:dyDescent="0.25">
      <c r="A950" s="7" t="s">
        <v>8005</v>
      </c>
      <c r="B950" s="8" t="s">
        <v>52</v>
      </c>
      <c r="C950" s="8" t="s">
        <v>1962</v>
      </c>
      <c r="D950" s="8" t="str">
        <f>"9782759229833"</f>
        <v>9782759229833</v>
      </c>
    </row>
    <row r="951" spans="1:4" x14ac:dyDescent="0.25">
      <c r="A951" s="7" t="s">
        <v>2341</v>
      </c>
      <c r="B951" s="8" t="s">
        <v>2342</v>
      </c>
      <c r="C951" s="8" t="s">
        <v>355</v>
      </c>
      <c r="D951" s="8" t="str">
        <f>"9783110468755"</f>
        <v>9783110468755</v>
      </c>
    </row>
    <row r="952" spans="1:4" x14ac:dyDescent="0.25">
      <c r="A952" s="7" t="s">
        <v>8851</v>
      </c>
      <c r="B952" s="8" t="s">
        <v>8852</v>
      </c>
      <c r="C952" s="8" t="s">
        <v>2273</v>
      </c>
      <c r="D952" s="8" t="str">
        <f>"9783030902568"</f>
        <v>9783030902568</v>
      </c>
    </row>
    <row r="953" spans="1:4" x14ac:dyDescent="0.25">
      <c r="A953" s="7" t="s">
        <v>5824</v>
      </c>
      <c r="B953" s="8" t="s">
        <v>5825</v>
      </c>
      <c r="C953" s="8" t="s">
        <v>4245</v>
      </c>
      <c r="D953" s="8" t="str">
        <f>"9789811310027"</f>
        <v>9789811310027</v>
      </c>
    </row>
    <row r="954" spans="1:4" x14ac:dyDescent="0.25">
      <c r="A954" s="7" t="s">
        <v>8409</v>
      </c>
      <c r="B954" s="8" t="s">
        <v>8410</v>
      </c>
      <c r="C954" s="8" t="s">
        <v>993</v>
      </c>
      <c r="D954" s="8" t="str">
        <f>"9783839445501"</f>
        <v>9783839445501</v>
      </c>
    </row>
    <row r="955" spans="1:4" x14ac:dyDescent="0.25">
      <c r="A955" s="7" t="s">
        <v>15791</v>
      </c>
      <c r="B955" s="8" t="s">
        <v>15792</v>
      </c>
      <c r="C955" s="8" t="s">
        <v>1865</v>
      </c>
      <c r="D955" s="8" t="str">
        <f>"9789175196985"</f>
        <v>9789175196985</v>
      </c>
    </row>
    <row r="956" spans="1:4" ht="30" x14ac:dyDescent="0.25">
      <c r="A956" s="7" t="s">
        <v>13682</v>
      </c>
      <c r="B956" s="8" t="s">
        <v>13683</v>
      </c>
      <c r="C956" s="8" t="s">
        <v>5134</v>
      </c>
      <c r="D956" s="8" t="str">
        <f>"9783662652107"</f>
        <v>9783662652107</v>
      </c>
    </row>
    <row r="957" spans="1:4" x14ac:dyDescent="0.25">
      <c r="A957" s="7" t="s">
        <v>5280</v>
      </c>
      <c r="B957" s="8" t="s">
        <v>85</v>
      </c>
      <c r="C957" s="8" t="s">
        <v>2273</v>
      </c>
      <c r="D957" s="8" t="str">
        <f>"9783319450216"</f>
        <v>9783319450216</v>
      </c>
    </row>
    <row r="958" spans="1:4" x14ac:dyDescent="0.25">
      <c r="A958" s="7" t="s">
        <v>737</v>
      </c>
      <c r="B958" s="8" t="s">
        <v>738</v>
      </c>
      <c r="C958" s="8" t="s">
        <v>355</v>
      </c>
      <c r="D958" s="8" t="str">
        <f>"9788376560533"</f>
        <v>9788376560533</v>
      </c>
    </row>
    <row r="959" spans="1:4" x14ac:dyDescent="0.25">
      <c r="A959" s="7" t="s">
        <v>6264</v>
      </c>
      <c r="B959" s="8" t="s">
        <v>6265</v>
      </c>
      <c r="C959" s="8" t="s">
        <v>2273</v>
      </c>
      <c r="D959" s="8" t="str">
        <f>"9783319916897"</f>
        <v>9783319916897</v>
      </c>
    </row>
    <row r="960" spans="1:4" ht="30" x14ac:dyDescent="0.25">
      <c r="A960" s="7" t="s">
        <v>15806</v>
      </c>
      <c r="B960" s="8" t="s">
        <v>15807</v>
      </c>
      <c r="C960" s="8" t="s">
        <v>1865</v>
      </c>
      <c r="D960" s="8" t="str">
        <f>"9789176859612"</f>
        <v>9789176859612</v>
      </c>
    </row>
    <row r="961" spans="1:4" ht="30" x14ac:dyDescent="0.25">
      <c r="A961" s="7" t="s">
        <v>5803</v>
      </c>
      <c r="B961" s="8" t="s">
        <v>5804</v>
      </c>
      <c r="C961" s="8" t="s">
        <v>5134</v>
      </c>
      <c r="D961" s="8" t="str">
        <f>"9783642318306"</f>
        <v>9783642318306</v>
      </c>
    </row>
    <row r="962" spans="1:4" x14ac:dyDescent="0.25">
      <c r="A962" s="7" t="s">
        <v>15335</v>
      </c>
      <c r="B962" s="8" t="s">
        <v>15336</v>
      </c>
      <c r="C962" s="8" t="s">
        <v>1865</v>
      </c>
      <c r="D962" s="8" t="str">
        <f>"9789175197241"</f>
        <v>9789175197241</v>
      </c>
    </row>
    <row r="963" spans="1:4" ht="30" x14ac:dyDescent="0.25">
      <c r="A963" s="7" t="s">
        <v>11203</v>
      </c>
      <c r="B963" s="8" t="s">
        <v>11204</v>
      </c>
      <c r="C963" s="8" t="s">
        <v>355</v>
      </c>
      <c r="D963" s="8" t="str">
        <f>"9783110701319"</f>
        <v>9783110701319</v>
      </c>
    </row>
    <row r="964" spans="1:4" x14ac:dyDescent="0.25">
      <c r="A964" s="7" t="s">
        <v>8704</v>
      </c>
      <c r="B964" s="8" t="s">
        <v>8705</v>
      </c>
      <c r="C964" s="8" t="s">
        <v>2073</v>
      </c>
      <c r="D964" s="8" t="str">
        <f>"9781438485928"</f>
        <v>9781438485928</v>
      </c>
    </row>
    <row r="965" spans="1:4" ht="30" x14ac:dyDescent="0.25">
      <c r="A965" s="7" t="s">
        <v>3759</v>
      </c>
      <c r="B965" s="8" t="s">
        <v>3760</v>
      </c>
      <c r="C965" s="8" t="s">
        <v>1865</v>
      </c>
      <c r="D965" s="8" t="str">
        <f>"9789176852972"</f>
        <v>9789176852972</v>
      </c>
    </row>
    <row r="966" spans="1:4" ht="30" x14ac:dyDescent="0.25">
      <c r="A966" s="7" t="s">
        <v>3993</v>
      </c>
      <c r="B966" s="8" t="s">
        <v>3994</v>
      </c>
      <c r="C966" s="8" t="s">
        <v>1345</v>
      </c>
      <c r="D966" s="8" t="str">
        <f>"9783737605670"</f>
        <v>9783737605670</v>
      </c>
    </row>
    <row r="967" spans="1:4" x14ac:dyDescent="0.25">
      <c r="A967" s="7" t="s">
        <v>3892</v>
      </c>
      <c r="B967" s="8" t="s">
        <v>3893</v>
      </c>
      <c r="C967" s="8" t="s">
        <v>1865</v>
      </c>
      <c r="D967" s="8" t="str">
        <f>"9789176852491"</f>
        <v>9789176852491</v>
      </c>
    </row>
    <row r="968" spans="1:4" x14ac:dyDescent="0.25">
      <c r="A968" s="7" t="s">
        <v>4766</v>
      </c>
      <c r="B968" s="8" t="s">
        <v>4767</v>
      </c>
      <c r="C968" s="8" t="s">
        <v>1865</v>
      </c>
      <c r="D968" s="8" t="str">
        <f>"9789179299453"</f>
        <v>9789179299453</v>
      </c>
    </row>
    <row r="969" spans="1:4" ht="30" x14ac:dyDescent="0.25">
      <c r="A969" s="7" t="s">
        <v>3452</v>
      </c>
      <c r="B969" s="8" t="s">
        <v>3453</v>
      </c>
      <c r="C969" s="8" t="s">
        <v>1865</v>
      </c>
      <c r="D969" s="8" t="str">
        <f>"9789176854150"</f>
        <v>9789176854150</v>
      </c>
    </row>
    <row r="970" spans="1:4" x14ac:dyDescent="0.25">
      <c r="A970" s="7" t="s">
        <v>4090</v>
      </c>
      <c r="B970" s="8" t="s">
        <v>4091</v>
      </c>
      <c r="C970" s="8" t="s">
        <v>316</v>
      </c>
      <c r="D970" s="8" t="str">
        <f>"9783110563320"</f>
        <v>9783110563320</v>
      </c>
    </row>
    <row r="971" spans="1:4" x14ac:dyDescent="0.25">
      <c r="A971" s="7" t="s">
        <v>4141</v>
      </c>
      <c r="B971" s="8" t="s">
        <v>4142</v>
      </c>
      <c r="C971" s="8" t="s">
        <v>562</v>
      </c>
      <c r="D971" s="8" t="str">
        <f>"9781478004301"</f>
        <v>9781478004301</v>
      </c>
    </row>
    <row r="972" spans="1:4" x14ac:dyDescent="0.25">
      <c r="A972" s="7" t="s">
        <v>7251</v>
      </c>
      <c r="B972" s="8" t="s">
        <v>7252</v>
      </c>
      <c r="C972" s="8" t="s">
        <v>355</v>
      </c>
      <c r="D972" s="8" t="str">
        <f>"9783110615937"</f>
        <v>9783110615937</v>
      </c>
    </row>
    <row r="973" spans="1:4" ht="30" x14ac:dyDescent="0.25">
      <c r="A973" s="7" t="s">
        <v>2128</v>
      </c>
      <c r="B973" s="8" t="s">
        <v>2129</v>
      </c>
      <c r="C973" s="8" t="s">
        <v>1865</v>
      </c>
      <c r="D973" s="8" t="str">
        <f>"9789175190945"</f>
        <v>9789175190945</v>
      </c>
    </row>
    <row r="974" spans="1:4" x14ac:dyDescent="0.25">
      <c r="A974" s="7" t="s">
        <v>14949</v>
      </c>
      <c r="B974" s="8" t="s">
        <v>14950</v>
      </c>
      <c r="C974" s="8" t="s">
        <v>1865</v>
      </c>
      <c r="D974" s="8" t="str">
        <f>"9789176856116"</f>
        <v>9789176856116</v>
      </c>
    </row>
    <row r="975" spans="1:4" ht="30" x14ac:dyDescent="0.25">
      <c r="A975" s="7" t="s">
        <v>954</v>
      </c>
      <c r="B975" s="8" t="s">
        <v>955</v>
      </c>
      <c r="C975" s="8" t="s">
        <v>355</v>
      </c>
      <c r="D975" s="8" t="str">
        <f>"9783110412772"</f>
        <v>9783110412772</v>
      </c>
    </row>
    <row r="976" spans="1:4" x14ac:dyDescent="0.25">
      <c r="A976" s="7" t="s">
        <v>7454</v>
      </c>
      <c r="B976" s="8" t="s">
        <v>7455</v>
      </c>
      <c r="C976" s="8" t="s">
        <v>993</v>
      </c>
      <c r="D976" s="8" t="str">
        <f>"9783839437339"</f>
        <v>9783839437339</v>
      </c>
    </row>
    <row r="977" spans="1:4" x14ac:dyDescent="0.25">
      <c r="A977" s="7" t="s">
        <v>14400</v>
      </c>
      <c r="B977" s="8" t="s">
        <v>14401</v>
      </c>
      <c r="C977" s="8" t="s">
        <v>1865</v>
      </c>
      <c r="D977" s="8" t="str">
        <f>"9789179294687"</f>
        <v>9789179294687</v>
      </c>
    </row>
    <row r="978" spans="1:4" x14ac:dyDescent="0.25">
      <c r="A978" s="7" t="s">
        <v>7029</v>
      </c>
      <c r="B978" s="8" t="s">
        <v>7030</v>
      </c>
      <c r="C978" s="8" t="s">
        <v>329</v>
      </c>
      <c r="D978" s="8" t="str">
        <f>"9789048550203"</f>
        <v>9789048550203</v>
      </c>
    </row>
    <row r="979" spans="1:4" x14ac:dyDescent="0.25">
      <c r="A979" s="7" t="s">
        <v>1624</v>
      </c>
      <c r="B979" s="8" t="s">
        <v>38</v>
      </c>
      <c r="C979" s="8" t="s">
        <v>1345</v>
      </c>
      <c r="D979" s="8" t="str">
        <f>"9783862191215"</f>
        <v>9783862191215</v>
      </c>
    </row>
    <row r="980" spans="1:4" x14ac:dyDescent="0.25">
      <c r="A980" s="7" t="s">
        <v>812</v>
      </c>
      <c r="B980" s="8" t="s">
        <v>813</v>
      </c>
      <c r="C980" s="8" t="s">
        <v>562</v>
      </c>
      <c r="D980" s="8" t="str">
        <f>"9780822377306"</f>
        <v>9780822377306</v>
      </c>
    </row>
    <row r="981" spans="1:4" x14ac:dyDescent="0.25">
      <c r="A981" s="7" t="s">
        <v>11257</v>
      </c>
      <c r="B981" s="8" t="s">
        <v>11258</v>
      </c>
      <c r="C981" s="8" t="s">
        <v>355</v>
      </c>
      <c r="D981" s="8" t="str">
        <f>"9783110623758"</f>
        <v>9783110623758</v>
      </c>
    </row>
    <row r="982" spans="1:4" x14ac:dyDescent="0.25">
      <c r="A982" s="7" t="s">
        <v>7633</v>
      </c>
      <c r="B982" s="8" t="s">
        <v>7634</v>
      </c>
      <c r="C982" s="8" t="s">
        <v>993</v>
      </c>
      <c r="D982" s="8" t="str">
        <f>"9783839424421"</f>
        <v>9783839424421</v>
      </c>
    </row>
    <row r="983" spans="1:4" x14ac:dyDescent="0.25">
      <c r="A983" s="7" t="s">
        <v>3963</v>
      </c>
      <c r="B983" s="8" t="s">
        <v>3964</v>
      </c>
      <c r="C983" s="8" t="s">
        <v>329</v>
      </c>
      <c r="D983" s="8" t="str">
        <f>"9789048535224"</f>
        <v>9789048535224</v>
      </c>
    </row>
    <row r="984" spans="1:4" x14ac:dyDescent="0.25">
      <c r="A984" s="7" t="s">
        <v>6184</v>
      </c>
      <c r="B984" s="8" t="s">
        <v>6185</v>
      </c>
      <c r="C984" s="8" t="s">
        <v>2273</v>
      </c>
      <c r="D984" s="8" t="str">
        <f>"9783319653525"</f>
        <v>9783319653525</v>
      </c>
    </row>
    <row r="985" spans="1:4" x14ac:dyDescent="0.25">
      <c r="A985" s="7" t="s">
        <v>14312</v>
      </c>
      <c r="B985" s="8" t="s">
        <v>14313</v>
      </c>
      <c r="C985" s="8" t="s">
        <v>2273</v>
      </c>
      <c r="D985" s="8" t="str">
        <f>"9783031159886"</f>
        <v>9783031159886</v>
      </c>
    </row>
    <row r="986" spans="1:4" x14ac:dyDescent="0.25">
      <c r="A986" s="7" t="s">
        <v>7189</v>
      </c>
      <c r="B986" s="8" t="s">
        <v>7190</v>
      </c>
      <c r="C986" s="8" t="s">
        <v>329</v>
      </c>
      <c r="D986" s="8" t="str">
        <f>"9789048535538"</f>
        <v>9789048535538</v>
      </c>
    </row>
    <row r="987" spans="1:4" ht="30" x14ac:dyDescent="0.25">
      <c r="A987" s="7" t="s">
        <v>14570</v>
      </c>
      <c r="B987" s="8" t="s">
        <v>14571</v>
      </c>
      <c r="C987" s="8" t="s">
        <v>1865</v>
      </c>
      <c r="D987" s="8" t="str">
        <f>"9789179299026"</f>
        <v>9789179299026</v>
      </c>
    </row>
    <row r="988" spans="1:4" x14ac:dyDescent="0.25">
      <c r="A988" s="7" t="s">
        <v>9186</v>
      </c>
      <c r="B988" s="8" t="s">
        <v>9187</v>
      </c>
      <c r="C988" s="8" t="s">
        <v>4882</v>
      </c>
      <c r="D988" s="8" t="str">
        <f>"9781781385968"</f>
        <v>9781781385968</v>
      </c>
    </row>
    <row r="989" spans="1:4" x14ac:dyDescent="0.25">
      <c r="A989" s="7" t="s">
        <v>15346</v>
      </c>
      <c r="B989" s="8" t="s">
        <v>15347</v>
      </c>
      <c r="C989" s="8" t="s">
        <v>1865</v>
      </c>
      <c r="D989" s="8" t="str">
        <f>"9789175197289"</f>
        <v>9789175197289</v>
      </c>
    </row>
    <row r="990" spans="1:4" x14ac:dyDescent="0.25">
      <c r="A990" s="7" t="s">
        <v>11685</v>
      </c>
      <c r="B990" s="8" t="s">
        <v>11686</v>
      </c>
      <c r="C990" s="8" t="s">
        <v>355</v>
      </c>
      <c r="D990" s="8" t="str">
        <f>"9783111447339"</f>
        <v>9783111447339</v>
      </c>
    </row>
    <row r="991" spans="1:4" x14ac:dyDescent="0.25">
      <c r="A991" s="7" t="s">
        <v>4587</v>
      </c>
      <c r="B991" s="8" t="s">
        <v>4588</v>
      </c>
      <c r="C991" s="8" t="s">
        <v>1345</v>
      </c>
      <c r="D991" s="8" t="str">
        <f>"9783737607117"</f>
        <v>9783737607117</v>
      </c>
    </row>
    <row r="992" spans="1:4" x14ac:dyDescent="0.25">
      <c r="A992" s="7" t="s">
        <v>11096</v>
      </c>
      <c r="B992" s="8" t="s">
        <v>11097</v>
      </c>
      <c r="C992" s="8" t="s">
        <v>6704</v>
      </c>
      <c r="D992" s="8" t="str">
        <f>"9780472901715"</f>
        <v>9780472901715</v>
      </c>
    </row>
    <row r="993" spans="1:4" x14ac:dyDescent="0.25">
      <c r="A993" s="7" t="s">
        <v>6534</v>
      </c>
      <c r="B993" s="8" t="s">
        <v>6535</v>
      </c>
      <c r="C993" s="8" t="s">
        <v>1865</v>
      </c>
      <c r="D993" s="8" t="str">
        <f>"9789179296896"</f>
        <v>9789179296896</v>
      </c>
    </row>
    <row r="994" spans="1:4" x14ac:dyDescent="0.25">
      <c r="A994" s="7" t="s">
        <v>4840</v>
      </c>
      <c r="B994" s="8" t="s">
        <v>4841</v>
      </c>
      <c r="C994" s="8" t="s">
        <v>2273</v>
      </c>
      <c r="D994" s="8" t="str">
        <f>"9783030367145"</f>
        <v>9783030367145</v>
      </c>
    </row>
    <row r="995" spans="1:4" x14ac:dyDescent="0.25">
      <c r="A995" s="7" t="s">
        <v>1900</v>
      </c>
      <c r="B995" s="8" t="s">
        <v>1901</v>
      </c>
      <c r="C995" s="8" t="s">
        <v>1879</v>
      </c>
      <c r="D995" s="8" t="str">
        <f>"9781906924447"</f>
        <v>9781906924447</v>
      </c>
    </row>
    <row r="996" spans="1:4" x14ac:dyDescent="0.25">
      <c r="A996" s="7" t="s">
        <v>6851</v>
      </c>
      <c r="B996" s="8" t="s">
        <v>6852</v>
      </c>
      <c r="C996" s="8" t="s">
        <v>2073</v>
      </c>
      <c r="D996" s="8" t="str">
        <f>"9781438484112"</f>
        <v>9781438484112</v>
      </c>
    </row>
    <row r="997" spans="1:4" ht="30" x14ac:dyDescent="0.25">
      <c r="A997" s="7" t="s">
        <v>6260</v>
      </c>
      <c r="B997" s="8" t="s">
        <v>6261</v>
      </c>
      <c r="C997" s="8" t="s">
        <v>2273</v>
      </c>
      <c r="D997" s="8" t="str">
        <f>"9783030456238"</f>
        <v>9783030456238</v>
      </c>
    </row>
    <row r="998" spans="1:4" ht="45" x14ac:dyDescent="0.25">
      <c r="A998" s="7" t="s">
        <v>13652</v>
      </c>
      <c r="B998" s="8" t="s">
        <v>13653</v>
      </c>
      <c r="C998" s="8" t="s">
        <v>2273</v>
      </c>
      <c r="D998" s="8" t="str">
        <f>"9783031154515"</f>
        <v>9783031154515</v>
      </c>
    </row>
    <row r="999" spans="1:4" x14ac:dyDescent="0.25">
      <c r="A999" s="7" t="s">
        <v>4259</v>
      </c>
      <c r="B999" s="8" t="s">
        <v>4260</v>
      </c>
      <c r="C999" s="8" t="s">
        <v>1865</v>
      </c>
      <c r="D999" s="8" t="str">
        <f>"9789176851814"</f>
        <v>9789176851814</v>
      </c>
    </row>
    <row r="1000" spans="1:4" ht="30" x14ac:dyDescent="0.25">
      <c r="A1000" s="7" t="s">
        <v>7366</v>
      </c>
      <c r="B1000" s="8" t="s">
        <v>7367</v>
      </c>
      <c r="C1000" s="8" t="s">
        <v>2273</v>
      </c>
      <c r="D1000" s="8" t="str">
        <f>"9783030824273"</f>
        <v>9783030824273</v>
      </c>
    </row>
    <row r="1001" spans="1:4" x14ac:dyDescent="0.25">
      <c r="A1001" s="7" t="s">
        <v>12811</v>
      </c>
      <c r="B1001" s="8" t="s">
        <v>12812</v>
      </c>
      <c r="C1001" s="8" t="s">
        <v>12712</v>
      </c>
      <c r="D1001" s="8" t="str">
        <f>"9783428427581"</f>
        <v>9783428427581</v>
      </c>
    </row>
    <row r="1002" spans="1:4" ht="30" x14ac:dyDescent="0.25">
      <c r="A1002" s="7" t="s">
        <v>8601</v>
      </c>
      <c r="B1002" s="8" t="s">
        <v>8602</v>
      </c>
      <c r="C1002" s="8" t="s">
        <v>5086</v>
      </c>
      <c r="D1002" s="8" t="str">
        <f>"9783658357115"</f>
        <v>9783658357115</v>
      </c>
    </row>
    <row r="1003" spans="1:4" x14ac:dyDescent="0.25">
      <c r="A1003" s="7" t="s">
        <v>1744</v>
      </c>
      <c r="B1003" s="8" t="s">
        <v>1745</v>
      </c>
      <c r="C1003" s="8" t="s">
        <v>1345</v>
      </c>
      <c r="D1003" s="8" t="str">
        <f>"9783862197071"</f>
        <v>9783862197071</v>
      </c>
    </row>
    <row r="1004" spans="1:4" x14ac:dyDescent="0.25">
      <c r="A1004" s="7" t="s">
        <v>8566</v>
      </c>
      <c r="B1004" s="8" t="s">
        <v>8568</v>
      </c>
      <c r="C1004" s="8" t="s">
        <v>8567</v>
      </c>
      <c r="D1004" s="8" t="str">
        <f>"9783954871070"</f>
        <v>9783954871070</v>
      </c>
    </row>
    <row r="1005" spans="1:4" x14ac:dyDescent="0.25">
      <c r="A1005" s="7" t="s">
        <v>13429</v>
      </c>
      <c r="B1005" s="8" t="s">
        <v>13430</v>
      </c>
      <c r="C1005" s="8" t="s">
        <v>2274</v>
      </c>
      <c r="D1005" s="8" t="str">
        <f>"9789811940293"</f>
        <v>9789811940293</v>
      </c>
    </row>
    <row r="1006" spans="1:4" x14ac:dyDescent="0.25">
      <c r="A1006" s="7" t="s">
        <v>2395</v>
      </c>
      <c r="B1006" s="8" t="s">
        <v>2193</v>
      </c>
      <c r="C1006" s="8" t="s">
        <v>329</v>
      </c>
      <c r="D1006" s="8" t="str">
        <f>"9789048525386"</f>
        <v>9789048525386</v>
      </c>
    </row>
    <row r="1007" spans="1:4" x14ac:dyDescent="0.25">
      <c r="A1007" s="7" t="s">
        <v>10776</v>
      </c>
      <c r="B1007" s="8" t="s">
        <v>10777</v>
      </c>
      <c r="C1007" s="8" t="s">
        <v>1876</v>
      </c>
      <c r="D1007" s="8" t="str">
        <f>"9781922235138"</f>
        <v>9781922235138</v>
      </c>
    </row>
    <row r="1008" spans="1:4" ht="30" x14ac:dyDescent="0.25">
      <c r="A1008" s="7" t="s">
        <v>3354</v>
      </c>
      <c r="B1008" s="8" t="s">
        <v>3355</v>
      </c>
      <c r="C1008" s="8" t="s">
        <v>1865</v>
      </c>
      <c r="D1008" s="8" t="str">
        <f>"9789176854600"</f>
        <v>9789176854600</v>
      </c>
    </row>
    <row r="1009" spans="1:4" x14ac:dyDescent="0.25">
      <c r="A1009" s="7" t="s">
        <v>15475</v>
      </c>
      <c r="B1009" s="8" t="s">
        <v>15476</v>
      </c>
      <c r="C1009" s="8" t="s">
        <v>1865</v>
      </c>
      <c r="D1009" s="8" t="str">
        <f>"9789176857649"</f>
        <v>9789176857649</v>
      </c>
    </row>
    <row r="1010" spans="1:4" ht="30" x14ac:dyDescent="0.25">
      <c r="A1010" s="7" t="s">
        <v>2695</v>
      </c>
      <c r="B1010" s="8" t="s">
        <v>2696</v>
      </c>
      <c r="C1010" s="8" t="s">
        <v>993</v>
      </c>
      <c r="D1010" s="8" t="str">
        <f>"9783839434109"</f>
        <v>9783839434109</v>
      </c>
    </row>
    <row r="1011" spans="1:4" ht="30" x14ac:dyDescent="0.25">
      <c r="A1011" s="7" t="s">
        <v>6283</v>
      </c>
      <c r="B1011" s="8" t="s">
        <v>6284</v>
      </c>
      <c r="C1011" s="8" t="s">
        <v>2273</v>
      </c>
      <c r="D1011" s="8" t="str">
        <f>"9783319586502"</f>
        <v>9783319586502</v>
      </c>
    </row>
    <row r="1012" spans="1:4" x14ac:dyDescent="0.25">
      <c r="A1012" s="7" t="s">
        <v>11273</v>
      </c>
      <c r="B1012" s="8" t="s">
        <v>11274</v>
      </c>
      <c r="C1012" s="8" t="s">
        <v>355</v>
      </c>
      <c r="D1012" s="8" t="str">
        <f>"9783110720327"</f>
        <v>9783110720327</v>
      </c>
    </row>
    <row r="1013" spans="1:4" ht="30" x14ac:dyDescent="0.25">
      <c r="A1013" s="7" t="s">
        <v>13053</v>
      </c>
      <c r="B1013" s="8" t="s">
        <v>13054</v>
      </c>
      <c r="C1013" s="8" t="s">
        <v>12712</v>
      </c>
      <c r="D1013" s="8" t="str">
        <f>"9783428555413"</f>
        <v>9783428555413</v>
      </c>
    </row>
    <row r="1014" spans="1:4" ht="30" x14ac:dyDescent="0.25">
      <c r="A1014" s="7" t="s">
        <v>14193</v>
      </c>
      <c r="B1014" s="8" t="s">
        <v>14194</v>
      </c>
      <c r="C1014" s="8" t="s">
        <v>9256</v>
      </c>
      <c r="D1014" s="8" t="str">
        <f>"9788028000165"</f>
        <v>9788028000165</v>
      </c>
    </row>
    <row r="1015" spans="1:4" x14ac:dyDescent="0.25">
      <c r="A1015" s="7" t="s">
        <v>598</v>
      </c>
      <c r="B1015" s="8" t="s">
        <v>599</v>
      </c>
      <c r="C1015" s="8" t="s">
        <v>562</v>
      </c>
      <c r="D1015" s="8" t="str">
        <f>"9780822391975"</f>
        <v>9780822391975</v>
      </c>
    </row>
    <row r="1016" spans="1:4" x14ac:dyDescent="0.25">
      <c r="A1016" s="7" t="s">
        <v>11611</v>
      </c>
      <c r="B1016" s="8" t="s">
        <v>11612</v>
      </c>
      <c r="C1016" s="8" t="s">
        <v>355</v>
      </c>
      <c r="D1016" s="8" t="str">
        <f>"9783110715309"</f>
        <v>9783110715309</v>
      </c>
    </row>
    <row r="1017" spans="1:4" ht="30" x14ac:dyDescent="0.25">
      <c r="A1017" s="7" t="s">
        <v>13291</v>
      </c>
      <c r="B1017" s="8" t="s">
        <v>13292</v>
      </c>
      <c r="C1017" s="8" t="s">
        <v>12712</v>
      </c>
      <c r="D1017" s="8" t="str">
        <f>"9783428574544"</f>
        <v>9783428574544</v>
      </c>
    </row>
    <row r="1018" spans="1:4" x14ac:dyDescent="0.25">
      <c r="A1018" s="7" t="s">
        <v>306</v>
      </c>
      <c r="B1018" s="8" t="s">
        <v>307</v>
      </c>
      <c r="C1018" s="8" t="s">
        <v>227</v>
      </c>
      <c r="D1018" s="8" t="str">
        <f>"9781847790309"</f>
        <v>9781847790309</v>
      </c>
    </row>
    <row r="1019" spans="1:4" ht="30" x14ac:dyDescent="0.25">
      <c r="A1019" s="7" t="s">
        <v>14888</v>
      </c>
      <c r="B1019" s="8" t="s">
        <v>14889</v>
      </c>
      <c r="C1019" s="8" t="s">
        <v>1865</v>
      </c>
      <c r="D1019" s="8" t="str">
        <f>"9789185831869"</f>
        <v>9789185831869</v>
      </c>
    </row>
    <row r="1020" spans="1:4" x14ac:dyDescent="0.25">
      <c r="A1020" s="7" t="s">
        <v>11158</v>
      </c>
      <c r="B1020" s="8" t="s">
        <v>11159</v>
      </c>
      <c r="C1020" s="8" t="s">
        <v>355</v>
      </c>
      <c r="D1020" s="8" t="str">
        <f>"9783110705805"</f>
        <v>9783110705805</v>
      </c>
    </row>
    <row r="1021" spans="1:4" x14ac:dyDescent="0.25">
      <c r="A1021" s="7" t="s">
        <v>9146</v>
      </c>
      <c r="B1021" s="8" t="s">
        <v>9147</v>
      </c>
      <c r="C1021" s="8" t="s">
        <v>9138</v>
      </c>
      <c r="D1021" s="8" t="str">
        <f>"9780520976399"</f>
        <v>9780520976399</v>
      </c>
    </row>
    <row r="1022" spans="1:4" x14ac:dyDescent="0.25">
      <c r="A1022" s="7" t="s">
        <v>1922</v>
      </c>
      <c r="B1022" s="8" t="s">
        <v>40</v>
      </c>
      <c r="C1022" s="8" t="s">
        <v>1879</v>
      </c>
      <c r="D1022" s="8" t="str">
        <f>"9781906924089"</f>
        <v>9781906924089</v>
      </c>
    </row>
    <row r="1023" spans="1:4" x14ac:dyDescent="0.25">
      <c r="A1023" s="7" t="s">
        <v>4314</v>
      </c>
      <c r="B1023" s="8" t="s">
        <v>46</v>
      </c>
      <c r="C1023" s="8" t="s">
        <v>1345</v>
      </c>
      <c r="D1023" s="8" t="str">
        <f>"9783737606394"</f>
        <v>9783737606394</v>
      </c>
    </row>
    <row r="1024" spans="1:4" ht="30" x14ac:dyDescent="0.25">
      <c r="A1024" s="7" t="s">
        <v>9992</v>
      </c>
      <c r="B1024" s="8" t="s">
        <v>9993</v>
      </c>
      <c r="C1024" s="8" t="s">
        <v>993</v>
      </c>
      <c r="D1024" s="8" t="str">
        <f>"9783839409534"</f>
        <v>9783839409534</v>
      </c>
    </row>
    <row r="1025" spans="1:4" x14ac:dyDescent="0.25">
      <c r="A1025" s="7" t="s">
        <v>13698</v>
      </c>
      <c r="B1025" s="8" t="s">
        <v>13699</v>
      </c>
      <c r="C1025" s="8" t="s">
        <v>993</v>
      </c>
      <c r="D1025" s="8" t="str">
        <f>"9783839461082"</f>
        <v>9783839461082</v>
      </c>
    </row>
    <row r="1026" spans="1:4" x14ac:dyDescent="0.25">
      <c r="A1026" s="7" t="s">
        <v>10061</v>
      </c>
      <c r="B1026" s="8" t="s">
        <v>10062</v>
      </c>
      <c r="C1026" s="8" t="s">
        <v>993</v>
      </c>
      <c r="D1026" s="8" t="str">
        <f>"9783839412633"</f>
        <v>9783839412633</v>
      </c>
    </row>
    <row r="1027" spans="1:4" x14ac:dyDescent="0.25">
      <c r="A1027" s="7" t="s">
        <v>12966</v>
      </c>
      <c r="B1027" s="8" t="s">
        <v>12941</v>
      </c>
      <c r="C1027" s="8" t="s">
        <v>12712</v>
      </c>
      <c r="D1027" s="8" t="str">
        <f>"9783428459223"</f>
        <v>9783428459223</v>
      </c>
    </row>
    <row r="1028" spans="1:4" x14ac:dyDescent="0.25">
      <c r="A1028" s="7" t="s">
        <v>5366</v>
      </c>
      <c r="B1028" s="8" t="s">
        <v>5367</v>
      </c>
      <c r="C1028" s="8" t="s">
        <v>5358</v>
      </c>
      <c r="D1028" s="8" t="str">
        <f>"9781786390615"</f>
        <v>9781786390615</v>
      </c>
    </row>
    <row r="1029" spans="1:4" ht="30" x14ac:dyDescent="0.25">
      <c r="A1029" s="7" t="s">
        <v>6420</v>
      </c>
      <c r="B1029" s="8" t="s">
        <v>6421</v>
      </c>
      <c r="C1029" s="8" t="s">
        <v>2273</v>
      </c>
      <c r="D1029" s="8" t="str">
        <f>"9783030477752"</f>
        <v>9783030477752</v>
      </c>
    </row>
    <row r="1030" spans="1:4" x14ac:dyDescent="0.25">
      <c r="A1030" s="7" t="s">
        <v>14911</v>
      </c>
      <c r="B1030" s="8" t="s">
        <v>2507</v>
      </c>
      <c r="C1030" s="8" t="s">
        <v>1865</v>
      </c>
      <c r="D1030" s="8" t="str">
        <f>"9789175193021"</f>
        <v>9789175193021</v>
      </c>
    </row>
    <row r="1031" spans="1:4" x14ac:dyDescent="0.25">
      <c r="A1031" s="7" t="s">
        <v>3017</v>
      </c>
      <c r="B1031" s="8" t="s">
        <v>3018</v>
      </c>
      <c r="C1031" s="8" t="s">
        <v>1865</v>
      </c>
      <c r="D1031" s="8" t="str">
        <f>"9789176855850"</f>
        <v>9789176855850</v>
      </c>
    </row>
    <row r="1032" spans="1:4" x14ac:dyDescent="0.25">
      <c r="A1032" s="7" t="s">
        <v>6037</v>
      </c>
      <c r="B1032" s="8" t="s">
        <v>6038</v>
      </c>
      <c r="C1032" s="8" t="s">
        <v>2273</v>
      </c>
      <c r="D1032" s="8" t="str">
        <f>"9783319635552"</f>
        <v>9783319635552</v>
      </c>
    </row>
    <row r="1033" spans="1:4" x14ac:dyDescent="0.25">
      <c r="A1033" s="7" t="s">
        <v>5658</v>
      </c>
      <c r="B1033" s="8" t="s">
        <v>5659</v>
      </c>
      <c r="C1033" s="8" t="s">
        <v>5484</v>
      </c>
      <c r="D1033" s="8" t="str">
        <f>"9781430261469"</f>
        <v>9781430261469</v>
      </c>
    </row>
    <row r="1034" spans="1:4" x14ac:dyDescent="0.25">
      <c r="A1034" s="7" t="s">
        <v>9432</v>
      </c>
      <c r="B1034" s="8" t="s">
        <v>140</v>
      </c>
      <c r="C1034" s="8" t="s">
        <v>9256</v>
      </c>
      <c r="D1034" s="8" t="str">
        <f>"9788021099012"</f>
        <v>9788021099012</v>
      </c>
    </row>
    <row r="1035" spans="1:4" ht="30" x14ac:dyDescent="0.25">
      <c r="A1035" s="7" t="s">
        <v>9556</v>
      </c>
      <c r="B1035" s="8" t="s">
        <v>9557</v>
      </c>
      <c r="C1035" s="8" t="s">
        <v>5086</v>
      </c>
      <c r="D1035" s="8" t="str">
        <f>"9783658366193"</f>
        <v>9783658366193</v>
      </c>
    </row>
    <row r="1036" spans="1:4" ht="45" x14ac:dyDescent="0.25">
      <c r="A1036" s="7" t="s">
        <v>520</v>
      </c>
      <c r="B1036" s="8" t="s">
        <v>521</v>
      </c>
      <c r="C1036" s="8" t="s">
        <v>316</v>
      </c>
      <c r="D1036" s="8" t="str">
        <f>"9783110914665"</f>
        <v>9783110914665</v>
      </c>
    </row>
    <row r="1037" spans="1:4" ht="45" x14ac:dyDescent="0.25">
      <c r="A1037" s="7" t="s">
        <v>1157</v>
      </c>
      <c r="B1037" s="8" t="s">
        <v>1158</v>
      </c>
      <c r="C1037" s="8" t="s">
        <v>316</v>
      </c>
      <c r="D1037" s="8" t="str">
        <f>"9783110888256"</f>
        <v>9783110888256</v>
      </c>
    </row>
    <row r="1038" spans="1:4" ht="30" x14ac:dyDescent="0.25">
      <c r="A1038" s="7" t="s">
        <v>2215</v>
      </c>
      <c r="B1038" s="8" t="s">
        <v>2216</v>
      </c>
      <c r="C1038" s="8" t="s">
        <v>355</v>
      </c>
      <c r="D1038" s="8" t="str">
        <f>"9783486833584"</f>
        <v>9783486833584</v>
      </c>
    </row>
    <row r="1039" spans="1:4" ht="30" x14ac:dyDescent="0.25">
      <c r="A1039" s="7" t="s">
        <v>13538</v>
      </c>
      <c r="B1039" s="8" t="s">
        <v>13539</v>
      </c>
      <c r="C1039" s="8" t="s">
        <v>2273</v>
      </c>
      <c r="D1039" s="8" t="str">
        <f>"9783031102011"</f>
        <v>9783031102011</v>
      </c>
    </row>
    <row r="1040" spans="1:4" x14ac:dyDescent="0.25">
      <c r="A1040" s="7" t="s">
        <v>4509</v>
      </c>
      <c r="B1040" s="8" t="s">
        <v>4510</v>
      </c>
      <c r="C1040" s="8" t="s">
        <v>1865</v>
      </c>
      <c r="D1040" s="8" t="str">
        <f>"9789176850329"</f>
        <v>9789176850329</v>
      </c>
    </row>
    <row r="1041" spans="1:4" x14ac:dyDescent="0.25">
      <c r="A1041" s="7" t="s">
        <v>14283</v>
      </c>
      <c r="B1041" s="8" t="s">
        <v>14284</v>
      </c>
      <c r="C1041" s="8" t="s">
        <v>2273</v>
      </c>
      <c r="D1041" s="8" t="str">
        <f>"9783031222450"</f>
        <v>9783031222450</v>
      </c>
    </row>
    <row r="1042" spans="1:4" x14ac:dyDescent="0.25">
      <c r="A1042" s="7" t="s">
        <v>2464</v>
      </c>
      <c r="B1042" s="8" t="s">
        <v>2465</v>
      </c>
      <c r="C1042" s="8" t="s">
        <v>1865</v>
      </c>
      <c r="D1042" s="8" t="str">
        <f>"9789176858936"</f>
        <v>9789176858936</v>
      </c>
    </row>
    <row r="1043" spans="1:4" x14ac:dyDescent="0.25">
      <c r="A1043" s="7" t="s">
        <v>11484</v>
      </c>
      <c r="B1043" s="8" t="s">
        <v>11485</v>
      </c>
      <c r="C1043" s="8" t="s">
        <v>355</v>
      </c>
      <c r="D1043" s="8" t="str">
        <f>"9783486780079"</f>
        <v>9783486780079</v>
      </c>
    </row>
    <row r="1044" spans="1:4" ht="45" x14ac:dyDescent="0.25">
      <c r="A1044" s="7" t="s">
        <v>1104</v>
      </c>
      <c r="B1044" s="8" t="s">
        <v>1105</v>
      </c>
      <c r="C1044" s="8" t="s">
        <v>316</v>
      </c>
      <c r="D1044" s="8" t="str">
        <f>"9783110898491"</f>
        <v>9783110898491</v>
      </c>
    </row>
    <row r="1045" spans="1:4" ht="30" x14ac:dyDescent="0.25">
      <c r="A1045" s="7" t="s">
        <v>8241</v>
      </c>
      <c r="B1045" s="8" t="s">
        <v>8242</v>
      </c>
      <c r="C1045" s="8" t="s">
        <v>993</v>
      </c>
      <c r="D1045" s="8" t="str">
        <f>"9783839457139"</f>
        <v>9783839457139</v>
      </c>
    </row>
    <row r="1046" spans="1:4" ht="30" x14ac:dyDescent="0.25">
      <c r="A1046" s="7" t="s">
        <v>1323</v>
      </c>
      <c r="B1046" s="8" t="s">
        <v>1324</v>
      </c>
      <c r="C1046" s="8" t="s">
        <v>1224</v>
      </c>
      <c r="D1046" s="8" t="str">
        <f>"9781618116697"</f>
        <v>9781618116697</v>
      </c>
    </row>
    <row r="1047" spans="1:4" x14ac:dyDescent="0.25">
      <c r="A1047" s="7" t="s">
        <v>9233</v>
      </c>
      <c r="B1047" s="8" t="s">
        <v>9234</v>
      </c>
      <c r="C1047" s="8" t="s">
        <v>4882</v>
      </c>
      <c r="D1047" s="8" t="str">
        <f>"9781781385555"</f>
        <v>9781781385555</v>
      </c>
    </row>
    <row r="1048" spans="1:4" ht="30" x14ac:dyDescent="0.25">
      <c r="A1048" s="7" t="s">
        <v>6341</v>
      </c>
      <c r="B1048" s="8" t="s">
        <v>6342</v>
      </c>
      <c r="C1048" s="8" t="s">
        <v>1865</v>
      </c>
      <c r="D1048" s="8" t="str">
        <f>"9789179297282"</f>
        <v>9789179297282</v>
      </c>
    </row>
    <row r="1049" spans="1:4" ht="30" x14ac:dyDescent="0.25">
      <c r="A1049" s="7" t="s">
        <v>3369</v>
      </c>
      <c r="B1049" s="8" t="s">
        <v>3370</v>
      </c>
      <c r="C1049" s="8" t="s">
        <v>1865</v>
      </c>
      <c r="D1049" s="8" t="str">
        <f>"9789176854778"</f>
        <v>9789176854778</v>
      </c>
    </row>
    <row r="1050" spans="1:4" ht="30" x14ac:dyDescent="0.25">
      <c r="A1050" s="7" t="s">
        <v>1589</v>
      </c>
      <c r="B1050" s="8" t="s">
        <v>1590</v>
      </c>
      <c r="C1050" s="8" t="s">
        <v>1345</v>
      </c>
      <c r="D1050" s="8" t="str">
        <f>"9783862193936"</f>
        <v>9783862193936</v>
      </c>
    </row>
    <row r="1051" spans="1:4" x14ac:dyDescent="0.25">
      <c r="A1051" s="7" t="s">
        <v>14602</v>
      </c>
      <c r="B1051" s="8" t="s">
        <v>14603</v>
      </c>
      <c r="C1051" s="8" t="s">
        <v>1865</v>
      </c>
      <c r="D1051" s="8" t="str">
        <f>"9789179293765"</f>
        <v>9789179293765</v>
      </c>
    </row>
    <row r="1052" spans="1:4" ht="30" x14ac:dyDescent="0.25">
      <c r="A1052" s="7" t="s">
        <v>1475</v>
      </c>
      <c r="B1052" s="8" t="s">
        <v>1476</v>
      </c>
      <c r="C1052" s="8" t="s">
        <v>1345</v>
      </c>
      <c r="D1052" s="8" t="str">
        <f>"9783862193257"</f>
        <v>9783862193257</v>
      </c>
    </row>
    <row r="1053" spans="1:4" x14ac:dyDescent="0.25">
      <c r="A1053" s="7" t="s">
        <v>12265</v>
      </c>
      <c r="B1053" s="8" t="s">
        <v>12264</v>
      </c>
      <c r="C1053" s="8" t="s">
        <v>993</v>
      </c>
      <c r="D1053" s="8" t="str">
        <f>"9783839456019"</f>
        <v>9783839456019</v>
      </c>
    </row>
    <row r="1054" spans="1:4" x14ac:dyDescent="0.25">
      <c r="A1054" s="7" t="s">
        <v>12263</v>
      </c>
      <c r="B1054" s="8" t="s">
        <v>12264</v>
      </c>
      <c r="C1054" s="8" t="s">
        <v>993</v>
      </c>
      <c r="D1054" s="8" t="str">
        <f>"9783839456002"</f>
        <v>9783839456002</v>
      </c>
    </row>
    <row r="1055" spans="1:4" ht="30" x14ac:dyDescent="0.25">
      <c r="A1055" s="7" t="s">
        <v>8016</v>
      </c>
      <c r="B1055" s="8" t="s">
        <v>4521</v>
      </c>
      <c r="C1055" s="8" t="s">
        <v>1962</v>
      </c>
      <c r="D1055" s="8" t="str">
        <f>"9782759231560"</f>
        <v>9782759231560</v>
      </c>
    </row>
    <row r="1056" spans="1:4" ht="30" x14ac:dyDescent="0.25">
      <c r="A1056" s="7" t="s">
        <v>14681</v>
      </c>
      <c r="B1056" s="8" t="s">
        <v>14682</v>
      </c>
      <c r="C1056" s="8" t="s">
        <v>1865</v>
      </c>
      <c r="D1056" s="8" t="str">
        <f>"9789179299323"</f>
        <v>9789179299323</v>
      </c>
    </row>
    <row r="1057" spans="1:4" x14ac:dyDescent="0.25">
      <c r="A1057" s="7" t="s">
        <v>15408</v>
      </c>
      <c r="B1057" s="8" t="s">
        <v>15409</v>
      </c>
      <c r="C1057" s="8" t="s">
        <v>1865</v>
      </c>
      <c r="D1057" s="8" t="str">
        <f>"9789175191539"</f>
        <v>9789175191539</v>
      </c>
    </row>
    <row r="1058" spans="1:4" x14ac:dyDescent="0.25">
      <c r="A1058" s="7" t="s">
        <v>4715</v>
      </c>
      <c r="B1058" s="8" t="s">
        <v>4716</v>
      </c>
      <c r="C1058" s="8" t="s">
        <v>1865</v>
      </c>
      <c r="D1058" s="8" t="str">
        <f>"9789176851098"</f>
        <v>9789176851098</v>
      </c>
    </row>
    <row r="1059" spans="1:4" x14ac:dyDescent="0.25">
      <c r="A1059" s="7" t="s">
        <v>9501</v>
      </c>
      <c r="B1059" s="8" t="s">
        <v>9502</v>
      </c>
      <c r="C1059" s="8" t="s">
        <v>4245</v>
      </c>
      <c r="D1059" s="8" t="str">
        <f>"9789811679452"</f>
        <v>9789811679452</v>
      </c>
    </row>
    <row r="1060" spans="1:4" x14ac:dyDescent="0.25">
      <c r="A1060" s="7" t="s">
        <v>15092</v>
      </c>
      <c r="B1060" s="8" t="s">
        <v>15093</v>
      </c>
      <c r="C1060" s="8" t="s">
        <v>1865</v>
      </c>
      <c r="D1060" s="8" t="str">
        <f>"9789175199832"</f>
        <v>9789175199832</v>
      </c>
    </row>
    <row r="1061" spans="1:4" x14ac:dyDescent="0.25">
      <c r="A1061" s="7" t="s">
        <v>7158</v>
      </c>
      <c r="B1061" s="8" t="s">
        <v>3873</v>
      </c>
      <c r="C1061" s="8" t="s">
        <v>355</v>
      </c>
      <c r="D1061" s="8" t="str">
        <f>"9783110625844"</f>
        <v>9783110625844</v>
      </c>
    </row>
    <row r="1062" spans="1:4" x14ac:dyDescent="0.25">
      <c r="A1062" s="7" t="s">
        <v>15658</v>
      </c>
      <c r="B1062" s="8" t="s">
        <v>14510</v>
      </c>
      <c r="C1062" s="8" t="s">
        <v>1865</v>
      </c>
      <c r="D1062" s="8" t="str">
        <f>"9789180750424"</f>
        <v>9789180750424</v>
      </c>
    </row>
    <row r="1063" spans="1:4" x14ac:dyDescent="0.25">
      <c r="A1063" s="7" t="s">
        <v>9616</v>
      </c>
      <c r="B1063" s="8" t="s">
        <v>9617</v>
      </c>
      <c r="C1063" s="8" t="s">
        <v>9611</v>
      </c>
      <c r="D1063" s="8" t="str">
        <f>"9781782042983"</f>
        <v>9781782042983</v>
      </c>
    </row>
    <row r="1064" spans="1:4" x14ac:dyDescent="0.25">
      <c r="A1064" s="7" t="s">
        <v>5634</v>
      </c>
      <c r="B1064" s="8" t="s">
        <v>5635</v>
      </c>
      <c r="C1064" s="8" t="s">
        <v>2273</v>
      </c>
      <c r="D1064" s="8" t="str">
        <f>"9783319620183"</f>
        <v>9783319620183</v>
      </c>
    </row>
    <row r="1065" spans="1:4" x14ac:dyDescent="0.25">
      <c r="A1065" s="7" t="s">
        <v>16107</v>
      </c>
      <c r="B1065" s="8" t="s">
        <v>16108</v>
      </c>
      <c r="C1065" s="8" t="s">
        <v>1865</v>
      </c>
      <c r="D1065" s="8" t="str">
        <f>"9789175196428"</f>
        <v>9789175196428</v>
      </c>
    </row>
    <row r="1066" spans="1:4" x14ac:dyDescent="0.25">
      <c r="A1066" s="7" t="s">
        <v>5199</v>
      </c>
      <c r="B1066" s="8" t="s">
        <v>5200</v>
      </c>
      <c r="C1066" s="8" t="s">
        <v>4245</v>
      </c>
      <c r="D1066" s="8" t="str">
        <f>"9789811569647"</f>
        <v>9789811569647</v>
      </c>
    </row>
    <row r="1067" spans="1:4" x14ac:dyDescent="0.25">
      <c r="A1067" s="7" t="s">
        <v>4993</v>
      </c>
      <c r="B1067" s="8" t="s">
        <v>4994</v>
      </c>
      <c r="C1067" s="8" t="s">
        <v>355</v>
      </c>
      <c r="D1067" s="8" t="str">
        <f>"9783110479133"</f>
        <v>9783110479133</v>
      </c>
    </row>
    <row r="1068" spans="1:4" ht="30" x14ac:dyDescent="0.25">
      <c r="A1068" s="7" t="s">
        <v>3058</v>
      </c>
      <c r="B1068" s="8" t="s">
        <v>3059</v>
      </c>
      <c r="C1068" s="8" t="s">
        <v>1865</v>
      </c>
      <c r="D1068" s="8" t="str">
        <f>"9789176855713"</f>
        <v>9789176855713</v>
      </c>
    </row>
    <row r="1069" spans="1:4" x14ac:dyDescent="0.25">
      <c r="A1069" s="7" t="s">
        <v>2504</v>
      </c>
      <c r="B1069" s="8" t="s">
        <v>2505</v>
      </c>
      <c r="C1069" s="8" t="s">
        <v>1865</v>
      </c>
      <c r="D1069" s="8" t="str">
        <f>"9789176859384"</f>
        <v>9789176859384</v>
      </c>
    </row>
    <row r="1070" spans="1:4" ht="30" x14ac:dyDescent="0.25">
      <c r="A1070" s="7" t="s">
        <v>15669</v>
      </c>
      <c r="B1070" s="8" t="s">
        <v>15670</v>
      </c>
      <c r="C1070" s="8" t="s">
        <v>1865</v>
      </c>
      <c r="D1070" s="8" t="str">
        <f>"9789175198446"</f>
        <v>9789175198446</v>
      </c>
    </row>
    <row r="1071" spans="1:4" ht="30" x14ac:dyDescent="0.25">
      <c r="A1071" s="7" t="s">
        <v>2520</v>
      </c>
      <c r="B1071" s="8" t="s">
        <v>2521</v>
      </c>
      <c r="C1071" s="8" t="s">
        <v>1865</v>
      </c>
      <c r="D1071" s="8" t="str">
        <f>"9789176859162"</f>
        <v>9789176859162</v>
      </c>
    </row>
    <row r="1072" spans="1:4" ht="30" x14ac:dyDescent="0.25">
      <c r="A1072" s="7" t="s">
        <v>16182</v>
      </c>
      <c r="B1072" s="8" t="s">
        <v>16183</v>
      </c>
      <c r="C1072" s="8" t="s">
        <v>1865</v>
      </c>
      <c r="D1072" s="8" t="str">
        <f>"9789176857939"</f>
        <v>9789176857939</v>
      </c>
    </row>
    <row r="1073" spans="1:4" ht="30" x14ac:dyDescent="0.25">
      <c r="A1073" s="7" t="s">
        <v>15001</v>
      </c>
      <c r="B1073" s="8" t="s">
        <v>15002</v>
      </c>
      <c r="C1073" s="8" t="s">
        <v>1865</v>
      </c>
      <c r="D1073" s="8" t="str">
        <f>"9789175190303"</f>
        <v>9789175190303</v>
      </c>
    </row>
    <row r="1074" spans="1:4" x14ac:dyDescent="0.25">
      <c r="A1074" s="7" t="s">
        <v>14709</v>
      </c>
      <c r="B1074" s="8" t="s">
        <v>14710</v>
      </c>
      <c r="C1074" s="8" t="s">
        <v>1865</v>
      </c>
      <c r="D1074" s="8" t="str">
        <f>"9789179291877"</f>
        <v>9789179291877</v>
      </c>
    </row>
    <row r="1075" spans="1:4" x14ac:dyDescent="0.25">
      <c r="A1075" s="7" t="s">
        <v>8384</v>
      </c>
      <c r="B1075" s="8" t="s">
        <v>8385</v>
      </c>
      <c r="C1075" s="8" t="s">
        <v>993</v>
      </c>
      <c r="D1075" s="8" t="str">
        <f>"9783839438053"</f>
        <v>9783839438053</v>
      </c>
    </row>
    <row r="1076" spans="1:4" x14ac:dyDescent="0.25">
      <c r="A1076" s="7" t="s">
        <v>5340</v>
      </c>
      <c r="B1076" s="8" t="s">
        <v>5341</v>
      </c>
      <c r="C1076" s="8" t="s">
        <v>2273</v>
      </c>
      <c r="D1076" s="8" t="str">
        <f>"9783319612911"</f>
        <v>9783319612911</v>
      </c>
    </row>
    <row r="1077" spans="1:4" x14ac:dyDescent="0.25">
      <c r="A1077" s="7" t="s">
        <v>10667</v>
      </c>
      <c r="B1077" s="8" t="s">
        <v>10668</v>
      </c>
      <c r="C1077" s="8" t="s">
        <v>2273</v>
      </c>
      <c r="D1077" s="8" t="str">
        <f>"9783030972431"</f>
        <v>9783030972431</v>
      </c>
    </row>
    <row r="1078" spans="1:4" x14ac:dyDescent="0.25">
      <c r="A1078" s="7" t="s">
        <v>8355</v>
      </c>
      <c r="B1078" s="8" t="s">
        <v>8356</v>
      </c>
      <c r="C1078" s="8" t="s">
        <v>993</v>
      </c>
      <c r="D1078" s="8" t="str">
        <f>"9783839458358"</f>
        <v>9783839458358</v>
      </c>
    </row>
    <row r="1079" spans="1:4" x14ac:dyDescent="0.25">
      <c r="A1079" s="7" t="s">
        <v>15096</v>
      </c>
      <c r="B1079" s="8" t="s">
        <v>15097</v>
      </c>
      <c r="C1079" s="8" t="s">
        <v>1865</v>
      </c>
      <c r="D1079" s="8" t="str">
        <f>"9789175199085"</f>
        <v>9789175199085</v>
      </c>
    </row>
    <row r="1080" spans="1:4" ht="30" x14ac:dyDescent="0.25">
      <c r="A1080" s="7" t="s">
        <v>15256</v>
      </c>
      <c r="B1080" s="8" t="s">
        <v>15257</v>
      </c>
      <c r="C1080" s="8" t="s">
        <v>1865</v>
      </c>
      <c r="D1080" s="8" t="str">
        <f>"9789176856222"</f>
        <v>9789176856222</v>
      </c>
    </row>
    <row r="1081" spans="1:4" ht="45" x14ac:dyDescent="0.25">
      <c r="A1081" s="7" t="s">
        <v>13050</v>
      </c>
      <c r="B1081" s="8" t="s">
        <v>13051</v>
      </c>
      <c r="C1081" s="8" t="s">
        <v>12712</v>
      </c>
      <c r="D1081" s="8" t="str">
        <f>"9783428553327"</f>
        <v>9783428553327</v>
      </c>
    </row>
    <row r="1082" spans="1:4" x14ac:dyDescent="0.25">
      <c r="A1082" s="7" t="s">
        <v>1316</v>
      </c>
      <c r="B1082" s="8" t="s">
        <v>1317</v>
      </c>
      <c r="C1082" s="8" t="s">
        <v>1224</v>
      </c>
      <c r="D1082" s="8" t="str">
        <f>"9781618113627"</f>
        <v>9781618113627</v>
      </c>
    </row>
    <row r="1083" spans="1:4" x14ac:dyDescent="0.25">
      <c r="A1083" s="7" t="s">
        <v>15539</v>
      </c>
      <c r="B1083" s="8" t="s">
        <v>15540</v>
      </c>
      <c r="C1083" s="8" t="s">
        <v>1865</v>
      </c>
      <c r="D1083" s="8" t="str">
        <f>"9789176859193"</f>
        <v>9789176859193</v>
      </c>
    </row>
    <row r="1084" spans="1:4" x14ac:dyDescent="0.25">
      <c r="A1084" s="7" t="s">
        <v>7935</v>
      </c>
      <c r="B1084" s="8" t="s">
        <v>7936</v>
      </c>
      <c r="C1084" s="8" t="s">
        <v>1962</v>
      </c>
      <c r="D1084" s="8" t="str">
        <f>"9782759232567"</f>
        <v>9782759232567</v>
      </c>
    </row>
    <row r="1085" spans="1:4" ht="30" x14ac:dyDescent="0.25">
      <c r="A1085" s="7" t="s">
        <v>12479</v>
      </c>
      <c r="B1085" s="8" t="s">
        <v>12480</v>
      </c>
      <c r="C1085" s="8" t="s">
        <v>2274</v>
      </c>
      <c r="D1085" s="8" t="str">
        <f>"9789811667190"</f>
        <v>9789811667190</v>
      </c>
    </row>
    <row r="1086" spans="1:4" x14ac:dyDescent="0.25">
      <c r="A1086" s="7" t="s">
        <v>14658</v>
      </c>
      <c r="B1086" s="8" t="s">
        <v>14659</v>
      </c>
      <c r="C1086" s="8" t="s">
        <v>1865</v>
      </c>
      <c r="D1086" s="8" t="str">
        <f>"9789179292171"</f>
        <v>9789179292171</v>
      </c>
    </row>
    <row r="1087" spans="1:4" ht="30" x14ac:dyDescent="0.25">
      <c r="A1087" s="7" t="s">
        <v>15405</v>
      </c>
      <c r="B1087" s="8" t="s">
        <v>15406</v>
      </c>
      <c r="C1087" s="8" t="s">
        <v>1865</v>
      </c>
      <c r="D1087" s="8" t="str">
        <f>"9789175197142"</f>
        <v>9789175197142</v>
      </c>
    </row>
    <row r="1088" spans="1:4" x14ac:dyDescent="0.25">
      <c r="A1088" s="7" t="s">
        <v>12705</v>
      </c>
      <c r="B1088" s="8" t="s">
        <v>12706</v>
      </c>
      <c r="C1088" s="8" t="s">
        <v>1865</v>
      </c>
      <c r="D1088" s="8" t="str">
        <f>"9789179294205"</f>
        <v>9789179294205</v>
      </c>
    </row>
    <row r="1089" spans="1:4" x14ac:dyDescent="0.25">
      <c r="A1089" s="7" t="s">
        <v>10856</v>
      </c>
      <c r="B1089" s="8" t="s">
        <v>10857</v>
      </c>
      <c r="C1089" s="8" t="s">
        <v>2273</v>
      </c>
      <c r="D1089" s="8" t="str">
        <f>"9783030910884"</f>
        <v>9783030910884</v>
      </c>
    </row>
    <row r="1090" spans="1:4" x14ac:dyDescent="0.25">
      <c r="A1090" s="7" t="s">
        <v>14263</v>
      </c>
      <c r="B1090" s="8" t="s">
        <v>14264</v>
      </c>
      <c r="C1090" s="8" t="s">
        <v>2273</v>
      </c>
      <c r="D1090" s="8" t="str">
        <f>"9783031129827"</f>
        <v>9783031129827</v>
      </c>
    </row>
    <row r="1091" spans="1:4" x14ac:dyDescent="0.25">
      <c r="A1091" s="7" t="s">
        <v>9620</v>
      </c>
      <c r="B1091" s="8" t="s">
        <v>9621</v>
      </c>
      <c r="C1091" s="8" t="s">
        <v>1865</v>
      </c>
      <c r="D1091" s="8" t="str">
        <f>"9789179291600"</f>
        <v>9789179291600</v>
      </c>
    </row>
    <row r="1092" spans="1:4" x14ac:dyDescent="0.25">
      <c r="A1092" s="7" t="s">
        <v>15972</v>
      </c>
      <c r="B1092" s="8" t="s">
        <v>15973</v>
      </c>
      <c r="C1092" s="8" t="s">
        <v>1865</v>
      </c>
      <c r="D1092" s="8" t="str">
        <f>"9789175196718"</f>
        <v>9789175196718</v>
      </c>
    </row>
    <row r="1093" spans="1:4" x14ac:dyDescent="0.25">
      <c r="A1093" s="7" t="s">
        <v>5187</v>
      </c>
      <c r="B1093" s="8" t="s">
        <v>5188</v>
      </c>
      <c r="C1093" s="8" t="s">
        <v>1865</v>
      </c>
      <c r="D1093" s="8" t="str">
        <f>"9789179298081"</f>
        <v>9789179298081</v>
      </c>
    </row>
    <row r="1094" spans="1:4" x14ac:dyDescent="0.25">
      <c r="A1094" s="7" t="s">
        <v>14679</v>
      </c>
      <c r="B1094" s="8" t="s">
        <v>14680</v>
      </c>
      <c r="C1094" s="8" t="s">
        <v>1865</v>
      </c>
      <c r="D1094" s="8" t="str">
        <f>"9789179292232"</f>
        <v>9789179292232</v>
      </c>
    </row>
    <row r="1095" spans="1:4" ht="30" x14ac:dyDescent="0.25">
      <c r="A1095" s="7" t="s">
        <v>9027</v>
      </c>
      <c r="B1095" s="8" t="s">
        <v>9028</v>
      </c>
      <c r="C1095" s="8" t="s">
        <v>4245</v>
      </c>
      <c r="D1095" s="8" t="str">
        <f>"9789811668272"</f>
        <v>9789811668272</v>
      </c>
    </row>
    <row r="1096" spans="1:4" ht="30" x14ac:dyDescent="0.25">
      <c r="A1096" s="7" t="s">
        <v>14848</v>
      </c>
      <c r="B1096" s="8" t="s">
        <v>14849</v>
      </c>
      <c r="C1096" s="8" t="s">
        <v>1865</v>
      </c>
      <c r="D1096" s="8" t="str">
        <f>"9789175198798"</f>
        <v>9789175198798</v>
      </c>
    </row>
    <row r="1097" spans="1:4" ht="30" x14ac:dyDescent="0.25">
      <c r="A1097" s="7" t="s">
        <v>4612</v>
      </c>
      <c r="B1097" s="8" t="s">
        <v>4613</v>
      </c>
      <c r="C1097" s="8" t="s">
        <v>1865</v>
      </c>
      <c r="D1097" s="8" t="str">
        <f>"9789176850299"</f>
        <v>9789176850299</v>
      </c>
    </row>
    <row r="1098" spans="1:4" x14ac:dyDescent="0.25">
      <c r="A1098" s="7" t="s">
        <v>9324</v>
      </c>
      <c r="B1098" s="8" t="s">
        <v>219</v>
      </c>
      <c r="C1098" s="8" t="s">
        <v>9256</v>
      </c>
      <c r="D1098" s="8" t="str">
        <f>"9788021095410"</f>
        <v>9788021095410</v>
      </c>
    </row>
    <row r="1099" spans="1:4" x14ac:dyDescent="0.25">
      <c r="A1099" s="7" t="s">
        <v>14215</v>
      </c>
      <c r="B1099" s="8" t="s">
        <v>217</v>
      </c>
      <c r="C1099" s="8" t="s">
        <v>9256</v>
      </c>
      <c r="D1099" s="8" t="str">
        <f>"9788028001179"</f>
        <v>9788028001179</v>
      </c>
    </row>
    <row r="1100" spans="1:4" x14ac:dyDescent="0.25">
      <c r="A1100" s="7" t="s">
        <v>9388</v>
      </c>
      <c r="B1100" s="8" t="s">
        <v>9389</v>
      </c>
      <c r="C1100" s="8" t="s">
        <v>9256</v>
      </c>
      <c r="D1100" s="8" t="str">
        <f>"9788021097117"</f>
        <v>9788021097117</v>
      </c>
    </row>
    <row r="1101" spans="1:4" x14ac:dyDescent="0.25">
      <c r="A1101" s="7" t="s">
        <v>14944</v>
      </c>
      <c r="B1101" s="8" t="s">
        <v>14945</v>
      </c>
      <c r="C1101" s="8" t="s">
        <v>1865</v>
      </c>
      <c r="D1101" s="8" t="str">
        <f>"9789175196084"</f>
        <v>9789175196084</v>
      </c>
    </row>
    <row r="1102" spans="1:4" x14ac:dyDescent="0.25">
      <c r="A1102" s="7" t="s">
        <v>15673</v>
      </c>
      <c r="B1102" s="8" t="s">
        <v>15330</v>
      </c>
      <c r="C1102" s="8" t="s">
        <v>1865</v>
      </c>
      <c r="D1102" s="8" t="str">
        <f>"9789176858189"</f>
        <v>9789176858189</v>
      </c>
    </row>
    <row r="1103" spans="1:4" x14ac:dyDescent="0.25">
      <c r="A1103" s="7" t="s">
        <v>2532</v>
      </c>
      <c r="B1103" s="8"/>
      <c r="C1103" s="8"/>
      <c r="D1103" s="8"/>
    </row>
    <row r="1104" spans="1:4" x14ac:dyDescent="0.25">
      <c r="A1104" s="7" t="s">
        <v>3743</v>
      </c>
      <c r="B1104" s="8" t="s">
        <v>3744</v>
      </c>
      <c r="C1104" s="8" t="s">
        <v>1865</v>
      </c>
      <c r="D1104" s="8" t="str">
        <f>"9789176852965"</f>
        <v>9789176852965</v>
      </c>
    </row>
    <row r="1105" spans="1:4" ht="30" x14ac:dyDescent="0.25">
      <c r="A1105" s="7" t="s">
        <v>1573</v>
      </c>
      <c r="B1105" s="8" t="s">
        <v>1574</v>
      </c>
      <c r="C1105" s="8" t="s">
        <v>1345</v>
      </c>
      <c r="D1105" s="8" t="str">
        <f>"9783862193134"</f>
        <v>9783862193134</v>
      </c>
    </row>
    <row r="1106" spans="1:4" x14ac:dyDescent="0.25">
      <c r="A1106" s="7" t="s">
        <v>13427</v>
      </c>
      <c r="B1106" s="8" t="s">
        <v>13428</v>
      </c>
      <c r="C1106" s="8" t="s">
        <v>2273</v>
      </c>
      <c r="D1106" s="8" t="str">
        <f>"9783031115745"</f>
        <v>9783031115745</v>
      </c>
    </row>
    <row r="1107" spans="1:4" x14ac:dyDescent="0.25">
      <c r="A1107" s="7" t="s">
        <v>11971</v>
      </c>
      <c r="B1107" s="8" t="s">
        <v>11972</v>
      </c>
      <c r="C1107" s="8" t="s">
        <v>355</v>
      </c>
      <c r="D1107" s="8" t="str">
        <f>"9783035618013"</f>
        <v>9783035618013</v>
      </c>
    </row>
    <row r="1108" spans="1:4" x14ac:dyDescent="0.25">
      <c r="A1108" s="7" t="s">
        <v>361</v>
      </c>
      <c r="B1108" s="8" t="s">
        <v>362</v>
      </c>
      <c r="C1108" s="8" t="s">
        <v>227</v>
      </c>
      <c r="D1108" s="8" t="str">
        <f>"9781847791016"</f>
        <v>9781847791016</v>
      </c>
    </row>
    <row r="1109" spans="1:4" ht="30" x14ac:dyDescent="0.25">
      <c r="A1109" s="7" t="s">
        <v>12049</v>
      </c>
      <c r="B1109" s="8" t="s">
        <v>356</v>
      </c>
      <c r="C1109" s="8" t="s">
        <v>316</v>
      </c>
      <c r="D1109" s="8" t="str">
        <f>"9783598440243"</f>
        <v>9783598440243</v>
      </c>
    </row>
    <row r="1110" spans="1:4" ht="30" x14ac:dyDescent="0.25">
      <c r="A1110" s="7" t="s">
        <v>1283</v>
      </c>
      <c r="B1110" s="8" t="s">
        <v>1284</v>
      </c>
      <c r="C1110" s="8" t="s">
        <v>1224</v>
      </c>
      <c r="D1110" s="8" t="str">
        <f>"9781618116932"</f>
        <v>9781618116932</v>
      </c>
    </row>
    <row r="1111" spans="1:4" x14ac:dyDescent="0.25">
      <c r="A1111" s="7" t="s">
        <v>3499</v>
      </c>
      <c r="B1111" s="8" t="s">
        <v>3500</v>
      </c>
      <c r="C1111" s="8" t="s">
        <v>1865</v>
      </c>
      <c r="D1111" s="8" t="str">
        <f>"9789176853863"</f>
        <v>9789176853863</v>
      </c>
    </row>
    <row r="1112" spans="1:4" x14ac:dyDescent="0.25">
      <c r="A1112" s="7" t="s">
        <v>15783</v>
      </c>
      <c r="B1112" s="8" t="s">
        <v>15784</v>
      </c>
      <c r="C1112" s="8" t="s">
        <v>1865</v>
      </c>
      <c r="D1112" s="8" t="str">
        <f>"9789175197746"</f>
        <v>9789175197746</v>
      </c>
    </row>
    <row r="1113" spans="1:4" ht="30" x14ac:dyDescent="0.25">
      <c r="A1113" s="7" t="s">
        <v>15384</v>
      </c>
      <c r="B1113" s="8" t="s">
        <v>15385</v>
      </c>
      <c r="C1113" s="8" t="s">
        <v>1865</v>
      </c>
      <c r="D1113" s="8" t="str">
        <f>"9789173939164"</f>
        <v>9789173939164</v>
      </c>
    </row>
    <row r="1114" spans="1:4" x14ac:dyDescent="0.25">
      <c r="A1114" s="7" t="s">
        <v>2408</v>
      </c>
      <c r="B1114" s="8" t="s">
        <v>2409</v>
      </c>
      <c r="C1114" s="8" t="s">
        <v>1865</v>
      </c>
      <c r="D1114" s="8" t="str">
        <f>"9789176859988"</f>
        <v>9789176859988</v>
      </c>
    </row>
    <row r="1115" spans="1:4" ht="30" x14ac:dyDescent="0.25">
      <c r="A1115" s="7" t="s">
        <v>4273</v>
      </c>
      <c r="B1115" s="8" t="s">
        <v>4274</v>
      </c>
      <c r="C1115" s="8" t="s">
        <v>1865</v>
      </c>
      <c r="D1115" s="8" t="str">
        <f>"9789176851548"</f>
        <v>9789176851548</v>
      </c>
    </row>
    <row r="1116" spans="1:4" ht="30" x14ac:dyDescent="0.25">
      <c r="A1116" s="7" t="s">
        <v>3991</v>
      </c>
      <c r="B1116" s="8" t="s">
        <v>3992</v>
      </c>
      <c r="C1116" s="8" t="s">
        <v>1345</v>
      </c>
      <c r="D1116" s="8" t="str">
        <f>"9783737605694"</f>
        <v>9783737605694</v>
      </c>
    </row>
    <row r="1117" spans="1:4" ht="30" x14ac:dyDescent="0.25">
      <c r="A1117" s="7" t="s">
        <v>1750</v>
      </c>
      <c r="B1117" s="8" t="s">
        <v>1751</v>
      </c>
      <c r="C1117" s="8" t="s">
        <v>1345</v>
      </c>
      <c r="D1117" s="8" t="str">
        <f>"9783862197774"</f>
        <v>9783862197774</v>
      </c>
    </row>
    <row r="1118" spans="1:4" x14ac:dyDescent="0.25">
      <c r="A1118" s="7" t="s">
        <v>3604</v>
      </c>
      <c r="B1118" s="8" t="s">
        <v>3605</v>
      </c>
      <c r="C1118" s="8" t="s">
        <v>1865</v>
      </c>
      <c r="D1118" s="8" t="str">
        <f>"9789176853528"</f>
        <v>9789176853528</v>
      </c>
    </row>
    <row r="1119" spans="1:4" x14ac:dyDescent="0.25">
      <c r="A1119" s="7" t="s">
        <v>14812</v>
      </c>
      <c r="B1119" s="8" t="s">
        <v>14813</v>
      </c>
      <c r="C1119" s="8" t="s">
        <v>1865</v>
      </c>
      <c r="D1119" s="8" t="str">
        <f>"9789176858783"</f>
        <v>9789176858783</v>
      </c>
    </row>
    <row r="1120" spans="1:4" x14ac:dyDescent="0.25">
      <c r="A1120" s="7" t="s">
        <v>4881</v>
      </c>
      <c r="B1120" s="8" t="s">
        <v>4883</v>
      </c>
      <c r="C1120" s="8" t="s">
        <v>4882</v>
      </c>
      <c r="D1120" s="8" t="str">
        <f>"9781789624342"</f>
        <v>9781789624342</v>
      </c>
    </row>
    <row r="1121" spans="1:4" x14ac:dyDescent="0.25">
      <c r="A1121" s="7" t="s">
        <v>1264</v>
      </c>
      <c r="B1121" s="8" t="s">
        <v>1265</v>
      </c>
      <c r="C1121" s="8" t="s">
        <v>1224</v>
      </c>
      <c r="D1121" s="8" t="str">
        <f>"9781618111357"</f>
        <v>9781618111357</v>
      </c>
    </row>
    <row r="1122" spans="1:4" x14ac:dyDescent="0.25">
      <c r="A1122" s="7" t="s">
        <v>6975</v>
      </c>
      <c r="B1122" s="8" t="s">
        <v>6976</v>
      </c>
      <c r="C1122" s="8" t="s">
        <v>4245</v>
      </c>
      <c r="D1122" s="8" t="str">
        <f>"9789811606540"</f>
        <v>9789811606540</v>
      </c>
    </row>
    <row r="1123" spans="1:4" ht="30" x14ac:dyDescent="0.25">
      <c r="A1123" s="7" t="s">
        <v>16174</v>
      </c>
      <c r="B1123" s="8" t="s">
        <v>16175</v>
      </c>
      <c r="C1123" s="8" t="s">
        <v>1865</v>
      </c>
      <c r="D1123" s="8" t="str">
        <f>"9789175191621"</f>
        <v>9789175191621</v>
      </c>
    </row>
    <row r="1124" spans="1:4" x14ac:dyDescent="0.25">
      <c r="A1124" s="7" t="s">
        <v>15625</v>
      </c>
      <c r="B1124" s="8" t="s">
        <v>15626</v>
      </c>
      <c r="C1124" s="8" t="s">
        <v>1865</v>
      </c>
      <c r="D1124" s="8" t="str">
        <f>"9789176858585"</f>
        <v>9789176858585</v>
      </c>
    </row>
    <row r="1125" spans="1:4" x14ac:dyDescent="0.25">
      <c r="A1125" s="7" t="s">
        <v>4810</v>
      </c>
      <c r="B1125" s="8" t="s">
        <v>4811</v>
      </c>
      <c r="C1125" s="8" t="s">
        <v>1865</v>
      </c>
      <c r="D1125" s="8" t="str">
        <f>"9789179299446"</f>
        <v>9789179299446</v>
      </c>
    </row>
    <row r="1126" spans="1:4" x14ac:dyDescent="0.25">
      <c r="A1126" s="7" t="s">
        <v>15049</v>
      </c>
      <c r="B1126" s="8" t="s">
        <v>15050</v>
      </c>
      <c r="C1126" s="8" t="s">
        <v>1865</v>
      </c>
      <c r="D1126" s="8" t="str">
        <f>"9789175191935"</f>
        <v>9789175191935</v>
      </c>
    </row>
    <row r="1127" spans="1:4" x14ac:dyDescent="0.25">
      <c r="A1127" s="7" t="s">
        <v>5406</v>
      </c>
      <c r="B1127" s="8" t="s">
        <v>5407</v>
      </c>
      <c r="C1127" s="8" t="s">
        <v>2273</v>
      </c>
      <c r="D1127" s="8" t="str">
        <f>"9783030570811"</f>
        <v>9783030570811</v>
      </c>
    </row>
    <row r="1128" spans="1:4" ht="30" x14ac:dyDescent="0.25">
      <c r="A1128" s="7" t="s">
        <v>2996</v>
      </c>
      <c r="B1128" s="8" t="s">
        <v>2997</v>
      </c>
      <c r="C1128" s="8" t="s">
        <v>1865</v>
      </c>
      <c r="D1128" s="8" t="str">
        <f>"9789176855904"</f>
        <v>9789176855904</v>
      </c>
    </row>
    <row r="1129" spans="1:4" ht="30" x14ac:dyDescent="0.25">
      <c r="A1129" s="7" t="s">
        <v>11693</v>
      </c>
      <c r="B1129" s="8" t="s">
        <v>11694</v>
      </c>
      <c r="C1129" s="8" t="s">
        <v>355</v>
      </c>
      <c r="D1129" s="8" t="str">
        <f>"9783486733631"</f>
        <v>9783486733631</v>
      </c>
    </row>
    <row r="1130" spans="1:4" x14ac:dyDescent="0.25">
      <c r="A1130" s="7" t="s">
        <v>15856</v>
      </c>
      <c r="B1130" s="8" t="s">
        <v>15857</v>
      </c>
      <c r="C1130" s="8" t="s">
        <v>1865</v>
      </c>
      <c r="D1130" s="8" t="str">
        <f>"9789175193052"</f>
        <v>9789175193052</v>
      </c>
    </row>
    <row r="1131" spans="1:4" ht="30" x14ac:dyDescent="0.25">
      <c r="A1131" s="7" t="s">
        <v>2862</v>
      </c>
      <c r="B1131" s="8" t="s">
        <v>2863</v>
      </c>
      <c r="C1131" s="8" t="s">
        <v>1865</v>
      </c>
      <c r="D1131" s="8" t="str">
        <f>"9789176856697"</f>
        <v>9789176856697</v>
      </c>
    </row>
    <row r="1132" spans="1:4" x14ac:dyDescent="0.25">
      <c r="A1132" s="7" t="s">
        <v>9769</v>
      </c>
      <c r="B1132" s="8" t="s">
        <v>9770</v>
      </c>
      <c r="C1132" s="8" t="s">
        <v>993</v>
      </c>
      <c r="D1132" s="8" t="str">
        <f>"9783839404331"</f>
        <v>9783839404331</v>
      </c>
    </row>
    <row r="1133" spans="1:4" x14ac:dyDescent="0.25">
      <c r="A1133" s="7" t="s">
        <v>6004</v>
      </c>
      <c r="B1133" s="8" t="s">
        <v>6005</v>
      </c>
      <c r="C1133" s="8" t="s">
        <v>2273</v>
      </c>
      <c r="D1133" s="8" t="str">
        <f>"9783319947181"</f>
        <v>9783319947181</v>
      </c>
    </row>
    <row r="1134" spans="1:4" x14ac:dyDescent="0.25">
      <c r="A1134" s="7" t="s">
        <v>9756</v>
      </c>
      <c r="B1134" s="8" t="s">
        <v>9757</v>
      </c>
      <c r="C1134" s="8" t="s">
        <v>993</v>
      </c>
      <c r="D1134" s="8" t="str">
        <f>"9783839403846"</f>
        <v>9783839403846</v>
      </c>
    </row>
    <row r="1135" spans="1:4" x14ac:dyDescent="0.25">
      <c r="A1135" s="7" t="s">
        <v>14566</v>
      </c>
      <c r="B1135" s="8" t="s">
        <v>14567</v>
      </c>
      <c r="C1135" s="8" t="s">
        <v>1865</v>
      </c>
      <c r="D1135" s="8" t="str">
        <f>"9789179294786"</f>
        <v>9789179294786</v>
      </c>
    </row>
    <row r="1136" spans="1:4" ht="30" x14ac:dyDescent="0.25">
      <c r="A1136" s="7" t="s">
        <v>1064</v>
      </c>
      <c r="B1136" s="8" t="s">
        <v>1065</v>
      </c>
      <c r="C1136" s="8" t="s">
        <v>316</v>
      </c>
      <c r="D1136" s="8" t="str">
        <f>"9783110895445"</f>
        <v>9783110895445</v>
      </c>
    </row>
    <row r="1137" spans="1:4" x14ac:dyDescent="0.25">
      <c r="A1137" s="7" t="s">
        <v>5912</v>
      </c>
      <c r="B1137" s="8" t="s">
        <v>5913</v>
      </c>
      <c r="C1137" s="8" t="s">
        <v>2273</v>
      </c>
      <c r="D1137" s="8" t="str">
        <f>"9783319446677"</f>
        <v>9783319446677</v>
      </c>
    </row>
    <row r="1138" spans="1:4" x14ac:dyDescent="0.25">
      <c r="A1138" s="7" t="s">
        <v>15021</v>
      </c>
      <c r="B1138" s="8" t="s">
        <v>15022</v>
      </c>
      <c r="C1138" s="8" t="s">
        <v>1865</v>
      </c>
      <c r="D1138" s="8" t="str">
        <f>"9789176856024"</f>
        <v>9789176856024</v>
      </c>
    </row>
    <row r="1139" spans="1:4" x14ac:dyDescent="0.25">
      <c r="A1139" s="7" t="s">
        <v>751</v>
      </c>
      <c r="B1139" s="8" t="s">
        <v>752</v>
      </c>
      <c r="C1139" s="8" t="s">
        <v>355</v>
      </c>
      <c r="D1139" s="8" t="str">
        <f>"9788376560441"</f>
        <v>9788376560441</v>
      </c>
    </row>
    <row r="1140" spans="1:4" x14ac:dyDescent="0.25">
      <c r="A1140" s="7" t="s">
        <v>14501</v>
      </c>
      <c r="B1140" s="8" t="s">
        <v>14502</v>
      </c>
      <c r="C1140" s="8" t="s">
        <v>1865</v>
      </c>
      <c r="D1140" s="8" t="str">
        <f>"9789179290528"</f>
        <v>9789179290528</v>
      </c>
    </row>
    <row r="1141" spans="1:4" x14ac:dyDescent="0.25">
      <c r="A1141" s="7" t="s">
        <v>2870</v>
      </c>
      <c r="B1141" s="8" t="s">
        <v>2871</v>
      </c>
      <c r="C1141" s="8" t="s">
        <v>1865</v>
      </c>
      <c r="D1141" s="8" t="str">
        <f>"9789176856567"</f>
        <v>9789176856567</v>
      </c>
    </row>
    <row r="1142" spans="1:4" x14ac:dyDescent="0.25">
      <c r="A1142" s="7" t="s">
        <v>4007</v>
      </c>
      <c r="B1142" s="8" t="s">
        <v>4008</v>
      </c>
      <c r="C1142" s="8" t="s">
        <v>1345</v>
      </c>
      <c r="D1142" s="8" t="str">
        <f>"9783737605298"</f>
        <v>9783737605298</v>
      </c>
    </row>
    <row r="1143" spans="1:4" ht="30" x14ac:dyDescent="0.25">
      <c r="A1143" s="7" t="s">
        <v>3192</v>
      </c>
      <c r="B1143" s="8" t="s">
        <v>3193</v>
      </c>
      <c r="C1143" s="8" t="s">
        <v>1865</v>
      </c>
      <c r="D1143" s="8" t="str">
        <f>"9789176855171"</f>
        <v>9789176855171</v>
      </c>
    </row>
    <row r="1144" spans="1:4" x14ac:dyDescent="0.25">
      <c r="A1144" s="7" t="s">
        <v>9461</v>
      </c>
      <c r="B1144" s="8" t="s">
        <v>8050</v>
      </c>
      <c r="C1144" s="8" t="s">
        <v>4245</v>
      </c>
      <c r="D1144" s="8" t="str">
        <f>"9789811680861"</f>
        <v>9789811680861</v>
      </c>
    </row>
    <row r="1145" spans="1:4" x14ac:dyDescent="0.25">
      <c r="A1145" s="7" t="s">
        <v>12967</v>
      </c>
      <c r="B1145" s="8" t="s">
        <v>12951</v>
      </c>
      <c r="C1145" s="8" t="s">
        <v>12712</v>
      </c>
      <c r="D1145" s="8" t="str">
        <f>"9783428459230"</f>
        <v>9783428459230</v>
      </c>
    </row>
    <row r="1146" spans="1:4" x14ac:dyDescent="0.25">
      <c r="A1146" s="7" t="s">
        <v>9012</v>
      </c>
      <c r="B1146" s="8" t="s">
        <v>9013</v>
      </c>
      <c r="C1146" s="8" t="s">
        <v>562</v>
      </c>
      <c r="D1146" s="8" t="str">
        <f>"9781478092452"</f>
        <v>9781478092452</v>
      </c>
    </row>
    <row r="1147" spans="1:4" x14ac:dyDescent="0.25">
      <c r="A1147" s="7" t="s">
        <v>5291</v>
      </c>
      <c r="B1147" s="8" t="s">
        <v>5292</v>
      </c>
      <c r="C1147" s="8" t="s">
        <v>4245</v>
      </c>
      <c r="D1147" s="8" t="str">
        <f>"9789811565403"</f>
        <v>9789811565403</v>
      </c>
    </row>
    <row r="1148" spans="1:4" x14ac:dyDescent="0.25">
      <c r="A1148" s="7" t="s">
        <v>11089</v>
      </c>
      <c r="B1148" s="8" t="s">
        <v>6712</v>
      </c>
      <c r="C1148" s="8" t="s">
        <v>6707</v>
      </c>
      <c r="D1148" s="8" t="str">
        <f>"9780472902224"</f>
        <v>9780472902224</v>
      </c>
    </row>
    <row r="1149" spans="1:4" x14ac:dyDescent="0.25">
      <c r="A1149" s="7" t="s">
        <v>6064</v>
      </c>
      <c r="B1149" s="8" t="s">
        <v>6065</v>
      </c>
      <c r="C1149" s="8" t="s">
        <v>2273</v>
      </c>
      <c r="D1149" s="8" t="str">
        <f>"9783319597348"</f>
        <v>9783319597348</v>
      </c>
    </row>
    <row r="1150" spans="1:4" ht="30" x14ac:dyDescent="0.25">
      <c r="A1150" s="7" t="s">
        <v>8781</v>
      </c>
      <c r="B1150" s="8" t="s">
        <v>8782</v>
      </c>
      <c r="C1150" s="8" t="s">
        <v>4245</v>
      </c>
      <c r="D1150" s="8" t="str">
        <f>"9789811625244"</f>
        <v>9789811625244</v>
      </c>
    </row>
    <row r="1151" spans="1:4" x14ac:dyDescent="0.25">
      <c r="A1151" s="7" t="s">
        <v>13975</v>
      </c>
      <c r="B1151" s="8" t="s">
        <v>13976</v>
      </c>
      <c r="C1151" s="8" t="s">
        <v>2273</v>
      </c>
      <c r="D1151" s="8" t="str">
        <f>"9783031153891"</f>
        <v>9783031153891</v>
      </c>
    </row>
    <row r="1152" spans="1:4" ht="30" x14ac:dyDescent="0.25">
      <c r="A1152" s="7" t="s">
        <v>7049</v>
      </c>
      <c r="B1152" s="8" t="s">
        <v>7050</v>
      </c>
      <c r="C1152" s="8" t="s">
        <v>316</v>
      </c>
      <c r="D1152" s="8" t="str">
        <f>"9781501516948"</f>
        <v>9781501516948</v>
      </c>
    </row>
    <row r="1153" spans="1:4" x14ac:dyDescent="0.25">
      <c r="A1153" s="7" t="s">
        <v>614</v>
      </c>
      <c r="B1153" s="8" t="s">
        <v>615</v>
      </c>
      <c r="C1153" s="8" t="s">
        <v>562</v>
      </c>
      <c r="D1153" s="8" t="str">
        <f>"9780822393573"</f>
        <v>9780822393573</v>
      </c>
    </row>
    <row r="1154" spans="1:4" x14ac:dyDescent="0.25">
      <c r="A1154" s="7" t="s">
        <v>11073</v>
      </c>
      <c r="B1154" s="8" t="s">
        <v>11074</v>
      </c>
      <c r="C1154" s="8" t="s">
        <v>6707</v>
      </c>
      <c r="D1154" s="8" t="str">
        <f>"9780472901838"</f>
        <v>9780472901838</v>
      </c>
    </row>
    <row r="1155" spans="1:4" x14ac:dyDescent="0.25">
      <c r="A1155" s="7" t="s">
        <v>2367</v>
      </c>
      <c r="B1155" s="8" t="s">
        <v>2097</v>
      </c>
      <c r="C1155" s="8" t="s">
        <v>1345</v>
      </c>
      <c r="D1155" s="8" t="str">
        <f>"9783862199433"</f>
        <v>9783862199433</v>
      </c>
    </row>
    <row r="1156" spans="1:4" x14ac:dyDescent="0.25">
      <c r="A1156" s="7" t="s">
        <v>10979</v>
      </c>
      <c r="B1156" s="8" t="s">
        <v>10980</v>
      </c>
      <c r="C1156" s="8" t="s">
        <v>329</v>
      </c>
      <c r="D1156" s="8" t="str">
        <f>"9789048542727"</f>
        <v>9789048542727</v>
      </c>
    </row>
    <row r="1157" spans="1:4" x14ac:dyDescent="0.25">
      <c r="A1157" s="7" t="s">
        <v>3567</v>
      </c>
      <c r="B1157" s="8" t="s">
        <v>3568</v>
      </c>
      <c r="C1157" s="8" t="s">
        <v>562</v>
      </c>
      <c r="D1157" s="8" t="str">
        <f>"9780822372042"</f>
        <v>9780822372042</v>
      </c>
    </row>
    <row r="1158" spans="1:4" x14ac:dyDescent="0.25">
      <c r="A1158" s="7" t="s">
        <v>8059</v>
      </c>
      <c r="B1158" s="8" t="s">
        <v>8060</v>
      </c>
      <c r="C1158" s="8" t="s">
        <v>2273</v>
      </c>
      <c r="D1158" s="8" t="str">
        <f>"9783030802349"</f>
        <v>9783030802349</v>
      </c>
    </row>
    <row r="1159" spans="1:4" x14ac:dyDescent="0.25">
      <c r="A1159" s="7" t="s">
        <v>10489</v>
      </c>
      <c r="B1159" s="8" t="s">
        <v>10490</v>
      </c>
      <c r="C1159" s="8" t="s">
        <v>993</v>
      </c>
      <c r="D1159" s="8" t="str">
        <f>"9783839457948"</f>
        <v>9783839457948</v>
      </c>
    </row>
    <row r="1160" spans="1:4" ht="30" x14ac:dyDescent="0.25">
      <c r="A1160" s="7" t="s">
        <v>4336</v>
      </c>
      <c r="B1160" s="8" t="s">
        <v>4337</v>
      </c>
      <c r="C1160" s="8" t="s">
        <v>329</v>
      </c>
      <c r="D1160" s="8" t="str">
        <f>"9789048536641"</f>
        <v>9789048536641</v>
      </c>
    </row>
    <row r="1161" spans="1:4" x14ac:dyDescent="0.25">
      <c r="A1161" s="7" t="s">
        <v>16029</v>
      </c>
      <c r="B1161" s="8" t="s">
        <v>16030</v>
      </c>
      <c r="C1161" s="8" t="s">
        <v>1865</v>
      </c>
      <c r="D1161" s="8" t="str">
        <f>"9789176858134"</f>
        <v>9789176858134</v>
      </c>
    </row>
    <row r="1162" spans="1:4" x14ac:dyDescent="0.25">
      <c r="A1162" s="7" t="s">
        <v>9999</v>
      </c>
      <c r="B1162" s="8" t="s">
        <v>10000</v>
      </c>
      <c r="C1162" s="8" t="s">
        <v>993</v>
      </c>
      <c r="D1162" s="8" t="str">
        <f>"9783839409732"</f>
        <v>9783839409732</v>
      </c>
    </row>
    <row r="1163" spans="1:4" ht="30" x14ac:dyDescent="0.25">
      <c r="A1163" s="7" t="s">
        <v>4854</v>
      </c>
      <c r="B1163" s="8" t="s">
        <v>4855</v>
      </c>
      <c r="C1163" s="8" t="s">
        <v>1865</v>
      </c>
      <c r="D1163" s="8" t="str">
        <f>"9789179298944"</f>
        <v>9789179298944</v>
      </c>
    </row>
    <row r="1164" spans="1:4" x14ac:dyDescent="0.25">
      <c r="A1164" s="7" t="s">
        <v>8613</v>
      </c>
      <c r="B1164" s="8" t="s">
        <v>8614</v>
      </c>
      <c r="C1164" s="8" t="s">
        <v>562</v>
      </c>
      <c r="D1164" s="8" t="str">
        <f>"9781478091707"</f>
        <v>9781478091707</v>
      </c>
    </row>
    <row r="1165" spans="1:4" x14ac:dyDescent="0.25">
      <c r="A1165" s="7" t="s">
        <v>11075</v>
      </c>
      <c r="B1165" s="8" t="s">
        <v>11076</v>
      </c>
      <c r="C1165" s="8" t="s">
        <v>6716</v>
      </c>
      <c r="D1165" s="8" t="str">
        <f>"9780472901937"</f>
        <v>9780472901937</v>
      </c>
    </row>
    <row r="1166" spans="1:4" x14ac:dyDescent="0.25">
      <c r="A1166" s="7" t="s">
        <v>4075</v>
      </c>
      <c r="B1166" s="8" t="s">
        <v>4076</v>
      </c>
      <c r="C1166" s="8" t="s">
        <v>329</v>
      </c>
      <c r="D1166" s="8" t="str">
        <f>"9789048527564"</f>
        <v>9789048527564</v>
      </c>
    </row>
    <row r="1167" spans="1:4" ht="30" x14ac:dyDescent="0.25">
      <c r="A1167" s="7" t="s">
        <v>11988</v>
      </c>
      <c r="B1167" s="8" t="s">
        <v>11989</v>
      </c>
      <c r="C1167" s="8" t="s">
        <v>355</v>
      </c>
      <c r="D1167" s="8" t="str">
        <f>"9783110746877"</f>
        <v>9783110746877</v>
      </c>
    </row>
    <row r="1168" spans="1:4" ht="30" x14ac:dyDescent="0.25">
      <c r="A1168" s="7" t="s">
        <v>3124</v>
      </c>
      <c r="B1168" s="8" t="s">
        <v>3125</v>
      </c>
      <c r="C1168" s="8" t="s">
        <v>1865</v>
      </c>
      <c r="D1168" s="8" t="str">
        <f>"9789176855188"</f>
        <v>9789176855188</v>
      </c>
    </row>
    <row r="1169" spans="1:4" x14ac:dyDescent="0.25">
      <c r="A1169" s="7" t="s">
        <v>11505</v>
      </c>
      <c r="B1169" s="8" t="s">
        <v>11506</v>
      </c>
      <c r="C1169" s="8" t="s">
        <v>355</v>
      </c>
      <c r="D1169" s="8" t="str">
        <f>"9783110707014"</f>
        <v>9783110707014</v>
      </c>
    </row>
    <row r="1170" spans="1:4" x14ac:dyDescent="0.25">
      <c r="A1170" s="7" t="s">
        <v>5196</v>
      </c>
      <c r="B1170" s="8" t="s">
        <v>2753</v>
      </c>
      <c r="C1170" s="8" t="s">
        <v>1879</v>
      </c>
      <c r="D1170" s="8" t="str">
        <f>"9781800640191"</f>
        <v>9781800640191</v>
      </c>
    </row>
    <row r="1171" spans="1:4" x14ac:dyDescent="0.25">
      <c r="A1171" s="7" t="s">
        <v>9568</v>
      </c>
      <c r="B1171" s="8" t="s">
        <v>9569</v>
      </c>
      <c r="C1171" s="8" t="s">
        <v>4882</v>
      </c>
      <c r="D1171" s="8" t="str">
        <f>"9781789624182"</f>
        <v>9781789624182</v>
      </c>
    </row>
    <row r="1172" spans="1:4" ht="30" x14ac:dyDescent="0.25">
      <c r="A1172" s="7" t="s">
        <v>1906</v>
      </c>
      <c r="B1172" s="8" t="s">
        <v>1907</v>
      </c>
      <c r="C1172" s="8" t="s">
        <v>1879</v>
      </c>
      <c r="D1172" s="8" t="str">
        <f>"9781906924553"</f>
        <v>9781906924553</v>
      </c>
    </row>
    <row r="1173" spans="1:4" ht="30" x14ac:dyDescent="0.25">
      <c r="A1173" s="7" t="s">
        <v>1956</v>
      </c>
      <c r="B1173" s="8" t="s">
        <v>1907</v>
      </c>
      <c r="C1173" s="8" t="s">
        <v>1879</v>
      </c>
      <c r="D1173" s="8" t="str">
        <f>"9781783740796"</f>
        <v>9781783740796</v>
      </c>
    </row>
    <row r="1174" spans="1:4" ht="30" x14ac:dyDescent="0.25">
      <c r="A1174" s="7" t="s">
        <v>4104</v>
      </c>
      <c r="B1174" s="8" t="s">
        <v>1907</v>
      </c>
      <c r="C1174" s="8" t="s">
        <v>1879</v>
      </c>
      <c r="D1174" s="8" t="str">
        <f>"9781783745913"</f>
        <v>9781783745913</v>
      </c>
    </row>
    <row r="1175" spans="1:4" x14ac:dyDescent="0.25">
      <c r="A1175" s="7" t="s">
        <v>566</v>
      </c>
      <c r="B1175" s="8" t="s">
        <v>567</v>
      </c>
      <c r="C1175" s="8" t="s">
        <v>562</v>
      </c>
      <c r="D1175" s="8" t="str">
        <f>"9780822387749"</f>
        <v>9780822387749</v>
      </c>
    </row>
    <row r="1176" spans="1:4" x14ac:dyDescent="0.25">
      <c r="A1176" s="7" t="s">
        <v>6928</v>
      </c>
      <c r="B1176" s="8" t="s">
        <v>6929</v>
      </c>
      <c r="C1176" s="8" t="s">
        <v>2273</v>
      </c>
      <c r="D1176" s="8" t="str">
        <f>"9783030705909"</f>
        <v>9783030705909</v>
      </c>
    </row>
    <row r="1177" spans="1:4" ht="30" x14ac:dyDescent="0.25">
      <c r="A1177" s="7" t="s">
        <v>5703</v>
      </c>
      <c r="B1177" s="8" t="s">
        <v>5704</v>
      </c>
      <c r="C1177" s="8" t="s">
        <v>2273</v>
      </c>
      <c r="D1177" s="8" t="str">
        <f>"9783030526894"</f>
        <v>9783030526894</v>
      </c>
    </row>
    <row r="1178" spans="1:4" ht="30" x14ac:dyDescent="0.25">
      <c r="A1178" s="7" t="s">
        <v>3169</v>
      </c>
      <c r="B1178" s="8" t="s">
        <v>3170</v>
      </c>
      <c r="C1178" s="8" t="s">
        <v>1865</v>
      </c>
      <c r="D1178" s="8" t="str">
        <f>"9789176855553"</f>
        <v>9789176855553</v>
      </c>
    </row>
    <row r="1179" spans="1:4" x14ac:dyDescent="0.25">
      <c r="A1179" s="7" t="s">
        <v>15641</v>
      </c>
      <c r="B1179" s="8" t="s">
        <v>15642</v>
      </c>
      <c r="C1179" s="8" t="s">
        <v>1865</v>
      </c>
      <c r="D1179" s="8" t="str">
        <f>"9789175193427"</f>
        <v>9789175193427</v>
      </c>
    </row>
    <row r="1180" spans="1:4" ht="30" x14ac:dyDescent="0.25">
      <c r="A1180" s="7" t="s">
        <v>4758</v>
      </c>
      <c r="B1180" s="8" t="s">
        <v>4759</v>
      </c>
      <c r="C1180" s="8" t="s">
        <v>1865</v>
      </c>
      <c r="D1180" s="8" t="str">
        <f>"9789179299538"</f>
        <v>9789179299538</v>
      </c>
    </row>
    <row r="1181" spans="1:4" ht="30" x14ac:dyDescent="0.25">
      <c r="A1181" s="7" t="s">
        <v>4632</v>
      </c>
      <c r="B1181" s="8" t="s">
        <v>4633</v>
      </c>
      <c r="C1181" s="8" t="s">
        <v>1865</v>
      </c>
      <c r="D1181" s="8" t="str">
        <f>"9789176850763"</f>
        <v>9789176850763</v>
      </c>
    </row>
    <row r="1182" spans="1:4" ht="30" x14ac:dyDescent="0.25">
      <c r="A1182" s="7" t="s">
        <v>8575</v>
      </c>
      <c r="B1182" s="8" t="s">
        <v>8576</v>
      </c>
      <c r="C1182" s="8" t="s">
        <v>1879</v>
      </c>
      <c r="D1182" s="8" t="str">
        <f>"9781800641488"</f>
        <v>9781800641488</v>
      </c>
    </row>
    <row r="1183" spans="1:4" ht="30" x14ac:dyDescent="0.25">
      <c r="A1183" s="7" t="s">
        <v>10292</v>
      </c>
      <c r="B1183" s="8" t="s">
        <v>10293</v>
      </c>
      <c r="C1183" s="8" t="s">
        <v>993</v>
      </c>
      <c r="D1183" s="8" t="str">
        <f>"9783839447970"</f>
        <v>9783839447970</v>
      </c>
    </row>
    <row r="1184" spans="1:4" ht="30" x14ac:dyDescent="0.25">
      <c r="A1184" s="7" t="s">
        <v>11014</v>
      </c>
      <c r="B1184" s="8" t="s">
        <v>11015</v>
      </c>
      <c r="C1184" s="8" t="s">
        <v>2273</v>
      </c>
      <c r="D1184" s="8" t="str">
        <f>"9783030999407"</f>
        <v>9783030999407</v>
      </c>
    </row>
    <row r="1185" spans="1:4" ht="30" x14ac:dyDescent="0.25">
      <c r="A1185" s="7" t="s">
        <v>1449</v>
      </c>
      <c r="B1185" s="8" t="s">
        <v>1450</v>
      </c>
      <c r="C1185" s="8" t="s">
        <v>1345</v>
      </c>
      <c r="D1185" s="8" t="str">
        <f>"9783899588859"</f>
        <v>9783899588859</v>
      </c>
    </row>
    <row r="1186" spans="1:4" x14ac:dyDescent="0.25">
      <c r="A1186" s="7" t="s">
        <v>2982</v>
      </c>
      <c r="B1186" s="8" t="s">
        <v>2983</v>
      </c>
      <c r="C1186" s="8" t="s">
        <v>562</v>
      </c>
      <c r="D1186" s="8" t="str">
        <f>"9780822373483"</f>
        <v>9780822373483</v>
      </c>
    </row>
    <row r="1187" spans="1:4" x14ac:dyDescent="0.25">
      <c r="A1187" s="7" t="s">
        <v>7720</v>
      </c>
      <c r="B1187" s="8" t="s">
        <v>7721</v>
      </c>
      <c r="C1187" s="8" t="s">
        <v>993</v>
      </c>
      <c r="D1187" s="8" t="str">
        <f>"9783839428429"</f>
        <v>9783839428429</v>
      </c>
    </row>
    <row r="1188" spans="1:4" x14ac:dyDescent="0.25">
      <c r="A1188" s="7" t="s">
        <v>12229</v>
      </c>
      <c r="B1188" s="8" t="s">
        <v>12230</v>
      </c>
      <c r="C1188" s="8" t="s">
        <v>355</v>
      </c>
      <c r="D1188" s="8" t="str">
        <f>"9783035624168"</f>
        <v>9783035624168</v>
      </c>
    </row>
    <row r="1189" spans="1:4" x14ac:dyDescent="0.25">
      <c r="A1189" s="7" t="s">
        <v>10323</v>
      </c>
      <c r="B1189" s="8" t="s">
        <v>10324</v>
      </c>
      <c r="C1189" s="8" t="s">
        <v>993</v>
      </c>
      <c r="D1189" s="8" t="str">
        <f>"9783839448915"</f>
        <v>9783839448915</v>
      </c>
    </row>
    <row r="1190" spans="1:4" ht="30" x14ac:dyDescent="0.25">
      <c r="A1190" s="7" t="s">
        <v>13684</v>
      </c>
      <c r="B1190" s="8" t="s">
        <v>13685</v>
      </c>
      <c r="C1190" s="8" t="s">
        <v>2273</v>
      </c>
      <c r="D1190" s="8" t="str">
        <f>"9783031095047"</f>
        <v>9783031095047</v>
      </c>
    </row>
    <row r="1191" spans="1:4" ht="30" x14ac:dyDescent="0.25">
      <c r="A1191" s="7" t="s">
        <v>10997</v>
      </c>
      <c r="B1191" s="8" t="s">
        <v>10998</v>
      </c>
      <c r="C1191" s="8" t="s">
        <v>2273</v>
      </c>
      <c r="D1191" s="8" t="str">
        <f>"9783030995935"</f>
        <v>9783030995935</v>
      </c>
    </row>
    <row r="1192" spans="1:4" ht="30" x14ac:dyDescent="0.25">
      <c r="A1192" s="7" t="s">
        <v>5432</v>
      </c>
      <c r="B1192" s="8" t="s">
        <v>5433</v>
      </c>
      <c r="C1192" s="8" t="s">
        <v>2273</v>
      </c>
      <c r="D1192" s="8" t="str">
        <f>"9783030548711"</f>
        <v>9783030548711</v>
      </c>
    </row>
    <row r="1193" spans="1:4" x14ac:dyDescent="0.25">
      <c r="A1193" s="7" t="s">
        <v>11585</v>
      </c>
      <c r="B1193" s="8" t="s">
        <v>11586</v>
      </c>
      <c r="C1193" s="8" t="s">
        <v>355</v>
      </c>
      <c r="D1193" s="8" t="str">
        <f>"9783110726534"</f>
        <v>9783110726534</v>
      </c>
    </row>
    <row r="1194" spans="1:4" ht="30" x14ac:dyDescent="0.25">
      <c r="A1194" s="7" t="s">
        <v>10449</v>
      </c>
      <c r="B1194" s="8" t="s">
        <v>10450</v>
      </c>
      <c r="C1194" s="8" t="s">
        <v>993</v>
      </c>
      <c r="D1194" s="8" t="str">
        <f>"9783839456910"</f>
        <v>9783839456910</v>
      </c>
    </row>
    <row r="1195" spans="1:4" ht="30" x14ac:dyDescent="0.25">
      <c r="A1195" s="7" t="s">
        <v>5486</v>
      </c>
      <c r="B1195" s="8" t="s">
        <v>5487</v>
      </c>
      <c r="C1195" s="8" t="s">
        <v>562</v>
      </c>
      <c r="D1195" s="8" t="str">
        <f>"9781478012832"</f>
        <v>9781478012832</v>
      </c>
    </row>
    <row r="1196" spans="1:4" ht="30" x14ac:dyDescent="0.25">
      <c r="A1196" s="7" t="s">
        <v>11621</v>
      </c>
      <c r="B1196" s="8" t="s">
        <v>11622</v>
      </c>
      <c r="C1196" s="8" t="s">
        <v>355</v>
      </c>
      <c r="D1196" s="8" t="str">
        <f>"9783110748406"</f>
        <v>9783110748406</v>
      </c>
    </row>
    <row r="1197" spans="1:4" ht="30" x14ac:dyDescent="0.25">
      <c r="A1197" s="7" t="s">
        <v>14014</v>
      </c>
      <c r="B1197" s="8" t="s">
        <v>14015</v>
      </c>
      <c r="C1197" s="8" t="s">
        <v>13997</v>
      </c>
      <c r="D1197" s="8" t="str">
        <f>"9789566095194"</f>
        <v>9789566095194</v>
      </c>
    </row>
    <row r="1198" spans="1:4" ht="30" x14ac:dyDescent="0.25">
      <c r="A1198" s="7" t="s">
        <v>9665</v>
      </c>
      <c r="B1198" s="8" t="s">
        <v>9666</v>
      </c>
      <c r="C1198" s="8" t="s">
        <v>993</v>
      </c>
      <c r="D1198" s="8" t="str">
        <f>"9783839400517"</f>
        <v>9783839400517</v>
      </c>
    </row>
    <row r="1199" spans="1:4" x14ac:dyDescent="0.25">
      <c r="A1199" s="7" t="s">
        <v>6759</v>
      </c>
      <c r="B1199" s="8" t="s">
        <v>6760</v>
      </c>
      <c r="C1199" s="8" t="s">
        <v>1879</v>
      </c>
      <c r="D1199" s="8" t="str">
        <f>"9781800641150"</f>
        <v>9781800641150</v>
      </c>
    </row>
    <row r="1200" spans="1:4" x14ac:dyDescent="0.25">
      <c r="A1200" s="7" t="s">
        <v>9048</v>
      </c>
      <c r="B1200" s="8" t="s">
        <v>9049</v>
      </c>
      <c r="C1200" s="8" t="s">
        <v>2273</v>
      </c>
      <c r="D1200" s="8" t="str">
        <f>"9783030862114"</f>
        <v>9783030862114</v>
      </c>
    </row>
    <row r="1201" spans="1:4" x14ac:dyDescent="0.25">
      <c r="A1201" s="7" t="s">
        <v>15111</v>
      </c>
      <c r="B1201" s="8" t="s">
        <v>15112</v>
      </c>
      <c r="C1201" s="8" t="s">
        <v>1865</v>
      </c>
      <c r="D1201" s="8" t="str">
        <f>"9789175196367"</f>
        <v>9789175196367</v>
      </c>
    </row>
    <row r="1202" spans="1:4" x14ac:dyDescent="0.25">
      <c r="A1202" s="7" t="s">
        <v>8582</v>
      </c>
      <c r="B1202" s="8" t="s">
        <v>8583</v>
      </c>
      <c r="C1202" s="8" t="s">
        <v>2274</v>
      </c>
      <c r="D1202" s="8" t="str">
        <f>"9789811606809"</f>
        <v>9789811606809</v>
      </c>
    </row>
    <row r="1203" spans="1:4" x14ac:dyDescent="0.25">
      <c r="A1203" s="7" t="s">
        <v>388</v>
      </c>
      <c r="B1203" s="8" t="s">
        <v>389</v>
      </c>
      <c r="C1203" s="8" t="s">
        <v>227</v>
      </c>
      <c r="D1203" s="8" t="str">
        <f>"9781847790828"</f>
        <v>9781847790828</v>
      </c>
    </row>
    <row r="1204" spans="1:4" x14ac:dyDescent="0.25">
      <c r="A1204" s="7" t="s">
        <v>11980</v>
      </c>
      <c r="B1204" s="8" t="s">
        <v>11981</v>
      </c>
      <c r="C1204" s="8" t="s">
        <v>562</v>
      </c>
      <c r="D1204" s="8" t="str">
        <f>"9781478091806"</f>
        <v>9781478091806</v>
      </c>
    </row>
    <row r="1205" spans="1:4" x14ac:dyDescent="0.25">
      <c r="A1205" s="7" t="s">
        <v>8958</v>
      </c>
      <c r="B1205" s="8" t="s">
        <v>8959</v>
      </c>
      <c r="C1205" s="8" t="s">
        <v>2273</v>
      </c>
      <c r="D1205" s="8" t="str">
        <f>"9783030853228"</f>
        <v>9783030853228</v>
      </c>
    </row>
    <row r="1206" spans="1:4" x14ac:dyDescent="0.25">
      <c r="A1206" s="7" t="s">
        <v>6422</v>
      </c>
      <c r="B1206" s="8" t="s">
        <v>6423</v>
      </c>
      <c r="C1206" s="8" t="s">
        <v>2273</v>
      </c>
      <c r="D1206" s="8" t="str">
        <f>"9783030611606"</f>
        <v>9783030611606</v>
      </c>
    </row>
    <row r="1207" spans="1:4" x14ac:dyDescent="0.25">
      <c r="A1207" s="7" t="s">
        <v>5910</v>
      </c>
      <c r="B1207" s="8" t="s">
        <v>5911</v>
      </c>
      <c r="C1207" s="8" t="s">
        <v>2273</v>
      </c>
      <c r="D1207" s="8" t="str">
        <f>"9783319611945"</f>
        <v>9783319611945</v>
      </c>
    </row>
    <row r="1208" spans="1:4" ht="30" x14ac:dyDescent="0.25">
      <c r="A1208" s="7" t="s">
        <v>3433</v>
      </c>
      <c r="B1208" s="8" t="s">
        <v>3434</v>
      </c>
      <c r="C1208" s="8" t="s">
        <v>1865</v>
      </c>
      <c r="D1208" s="8" t="str">
        <f>"9789176853948"</f>
        <v>9789176853948</v>
      </c>
    </row>
    <row r="1209" spans="1:4" x14ac:dyDescent="0.25">
      <c r="A1209" s="7" t="s">
        <v>8754</v>
      </c>
      <c r="B1209" s="8" t="s">
        <v>8755</v>
      </c>
      <c r="C1209" s="8" t="s">
        <v>2273</v>
      </c>
      <c r="D1209" s="8" t="str">
        <f>"9783030807672"</f>
        <v>9783030807672</v>
      </c>
    </row>
    <row r="1210" spans="1:4" x14ac:dyDescent="0.25">
      <c r="A1210" s="7" t="s">
        <v>8012</v>
      </c>
      <c r="B1210" s="8" t="s">
        <v>8013</v>
      </c>
      <c r="C1210" s="8" t="s">
        <v>1962</v>
      </c>
      <c r="D1210" s="8" t="str">
        <f>"9782759230945"</f>
        <v>9782759230945</v>
      </c>
    </row>
    <row r="1211" spans="1:4" x14ac:dyDescent="0.25">
      <c r="A1211" s="7" t="s">
        <v>4614</v>
      </c>
      <c r="B1211" s="8" t="s">
        <v>4615</v>
      </c>
      <c r="C1211" s="8" t="s">
        <v>1865</v>
      </c>
      <c r="D1211" s="8" t="str">
        <f>"9789175190112"</f>
        <v>9789175190112</v>
      </c>
    </row>
    <row r="1212" spans="1:4" x14ac:dyDescent="0.25">
      <c r="A1212" s="7" t="s">
        <v>9648</v>
      </c>
      <c r="B1212" s="8" t="s">
        <v>9649</v>
      </c>
      <c r="C1212" s="8" t="s">
        <v>1865</v>
      </c>
      <c r="D1212" s="8" t="str">
        <f>"9789179292652"</f>
        <v>9789179292652</v>
      </c>
    </row>
    <row r="1213" spans="1:4" ht="30" x14ac:dyDescent="0.25">
      <c r="A1213" s="7" t="s">
        <v>14418</v>
      </c>
      <c r="B1213" s="8" t="s">
        <v>14419</v>
      </c>
      <c r="C1213" s="8" t="s">
        <v>1865</v>
      </c>
      <c r="D1213" s="8" t="str">
        <f>"9789179293048"</f>
        <v>9789179293048</v>
      </c>
    </row>
    <row r="1214" spans="1:4" x14ac:dyDescent="0.25">
      <c r="A1214" s="7" t="s">
        <v>5376</v>
      </c>
      <c r="B1214" s="8" t="s">
        <v>5377</v>
      </c>
      <c r="C1214" s="8" t="s">
        <v>1865</v>
      </c>
      <c r="D1214" s="8" t="str">
        <f>"9789179298616"</f>
        <v>9789179298616</v>
      </c>
    </row>
    <row r="1215" spans="1:4" x14ac:dyDescent="0.25">
      <c r="A1215" s="7" t="s">
        <v>4794</v>
      </c>
      <c r="B1215" s="8" t="s">
        <v>4795</v>
      </c>
      <c r="C1215" s="8" t="s">
        <v>1865</v>
      </c>
      <c r="D1215" s="8" t="str">
        <f>"9789179299620"</f>
        <v>9789179299620</v>
      </c>
    </row>
    <row r="1216" spans="1:4" ht="30" x14ac:dyDescent="0.25">
      <c r="A1216" s="7" t="s">
        <v>16100</v>
      </c>
      <c r="B1216" s="8" t="s">
        <v>16101</v>
      </c>
      <c r="C1216" s="8" t="s">
        <v>1865</v>
      </c>
      <c r="D1216" s="8" t="str">
        <f>"9789175191348"</f>
        <v>9789175191348</v>
      </c>
    </row>
    <row r="1217" spans="1:4" x14ac:dyDescent="0.25">
      <c r="A1217" s="7" t="s">
        <v>3414</v>
      </c>
      <c r="B1217" s="8" t="s">
        <v>3415</v>
      </c>
      <c r="C1217" s="8" t="s">
        <v>1865</v>
      </c>
      <c r="D1217" s="8" t="str">
        <f>"9789176854136"</f>
        <v>9789176854136</v>
      </c>
    </row>
    <row r="1218" spans="1:4" x14ac:dyDescent="0.25">
      <c r="A1218" s="7" t="s">
        <v>16130</v>
      </c>
      <c r="B1218" s="8" t="s">
        <v>16131</v>
      </c>
      <c r="C1218" s="8" t="s">
        <v>1865</v>
      </c>
      <c r="D1218" s="8" t="str">
        <f>"9789176858165"</f>
        <v>9789176858165</v>
      </c>
    </row>
    <row r="1219" spans="1:4" x14ac:dyDescent="0.25">
      <c r="A1219" s="7" t="s">
        <v>8764</v>
      </c>
      <c r="B1219" s="8" t="s">
        <v>8765</v>
      </c>
      <c r="C1219" s="8" t="s">
        <v>1865</v>
      </c>
      <c r="D1219" s="8" t="str">
        <f>"9789179290542"</f>
        <v>9789179290542</v>
      </c>
    </row>
    <row r="1220" spans="1:4" ht="30" x14ac:dyDescent="0.25">
      <c r="A1220" s="7" t="s">
        <v>6405</v>
      </c>
      <c r="B1220" s="8" t="s">
        <v>6406</v>
      </c>
      <c r="C1220" s="8" t="s">
        <v>2273</v>
      </c>
      <c r="D1220" s="8" t="str">
        <f>"9783030585051"</f>
        <v>9783030585051</v>
      </c>
    </row>
    <row r="1221" spans="1:4" x14ac:dyDescent="0.25">
      <c r="A1221" s="7" t="s">
        <v>1286</v>
      </c>
      <c r="B1221" s="8" t="s">
        <v>1287</v>
      </c>
      <c r="C1221" s="8" t="s">
        <v>1224</v>
      </c>
      <c r="D1221" s="8" t="str">
        <f>"9781618116772"</f>
        <v>9781618116772</v>
      </c>
    </row>
    <row r="1222" spans="1:4" x14ac:dyDescent="0.25">
      <c r="A1222" s="7" t="s">
        <v>5114</v>
      </c>
      <c r="B1222" s="8" t="s">
        <v>5115</v>
      </c>
      <c r="C1222" s="8" t="s">
        <v>1865</v>
      </c>
      <c r="D1222" s="8" t="str">
        <f>"9789179298753"</f>
        <v>9789179298753</v>
      </c>
    </row>
    <row r="1223" spans="1:4" x14ac:dyDescent="0.25">
      <c r="A1223" s="7" t="s">
        <v>13436</v>
      </c>
      <c r="B1223" s="8" t="s">
        <v>13437</v>
      </c>
      <c r="C1223" s="8" t="s">
        <v>2274</v>
      </c>
      <c r="D1223" s="8" t="str">
        <f>"9789811930263"</f>
        <v>9789811930263</v>
      </c>
    </row>
    <row r="1224" spans="1:4" x14ac:dyDescent="0.25">
      <c r="A1224" s="7" t="s">
        <v>1491</v>
      </c>
      <c r="B1224" s="8" t="s">
        <v>1492</v>
      </c>
      <c r="C1224" s="8" t="s">
        <v>1345</v>
      </c>
      <c r="D1224" s="8" t="str">
        <f>"9783862190812"</f>
        <v>9783862190812</v>
      </c>
    </row>
    <row r="1225" spans="1:4" x14ac:dyDescent="0.25">
      <c r="A1225" s="7" t="s">
        <v>2424</v>
      </c>
      <c r="B1225" s="8" t="s">
        <v>2425</v>
      </c>
      <c r="C1225" s="8" t="s">
        <v>1865</v>
      </c>
      <c r="D1225" s="8" t="str">
        <f>"9789176859971"</f>
        <v>9789176859971</v>
      </c>
    </row>
    <row r="1226" spans="1:4" ht="30" x14ac:dyDescent="0.25">
      <c r="A1226" s="7" t="s">
        <v>14516</v>
      </c>
      <c r="B1226" s="8" t="s">
        <v>14517</v>
      </c>
      <c r="C1226" s="8" t="s">
        <v>1865</v>
      </c>
      <c r="D1226" s="8" t="str">
        <f>"9789179294335"</f>
        <v>9789179294335</v>
      </c>
    </row>
    <row r="1227" spans="1:4" ht="30" x14ac:dyDescent="0.25">
      <c r="A1227" s="7" t="s">
        <v>14634</v>
      </c>
      <c r="B1227" s="8" t="s">
        <v>14635</v>
      </c>
      <c r="C1227" s="8" t="s">
        <v>1865</v>
      </c>
      <c r="D1227" s="8" t="str">
        <f>"9789179298425"</f>
        <v>9789179298425</v>
      </c>
    </row>
    <row r="1228" spans="1:4" x14ac:dyDescent="0.25">
      <c r="A1228" s="7" t="s">
        <v>2165</v>
      </c>
      <c r="B1228" s="8" t="s">
        <v>2166</v>
      </c>
      <c r="C1228" s="8" t="s">
        <v>1053</v>
      </c>
      <c r="D1228" s="8" t="str">
        <f>"9780874218657"</f>
        <v>9780874218657</v>
      </c>
    </row>
    <row r="1229" spans="1:4" x14ac:dyDescent="0.25">
      <c r="A1229" s="7" t="s">
        <v>14852</v>
      </c>
      <c r="B1229" s="8" t="s">
        <v>14853</v>
      </c>
      <c r="C1229" s="8" t="s">
        <v>1865</v>
      </c>
      <c r="D1229" s="8" t="str">
        <f>"9789175199894"</f>
        <v>9789175199894</v>
      </c>
    </row>
    <row r="1230" spans="1:4" x14ac:dyDescent="0.25">
      <c r="A1230" s="7" t="s">
        <v>7848</v>
      </c>
      <c r="B1230" s="8" t="s">
        <v>7849</v>
      </c>
      <c r="C1230" s="8" t="s">
        <v>562</v>
      </c>
      <c r="D1230" s="8" t="str">
        <f>"9781478021957"</f>
        <v>9781478021957</v>
      </c>
    </row>
    <row r="1231" spans="1:4" x14ac:dyDescent="0.25">
      <c r="A1231" s="7" t="s">
        <v>12238</v>
      </c>
      <c r="B1231" s="8" t="s">
        <v>12239</v>
      </c>
      <c r="C1231" s="8" t="s">
        <v>355</v>
      </c>
      <c r="D1231" s="8" t="str">
        <f>"9783035625882"</f>
        <v>9783035625882</v>
      </c>
    </row>
    <row r="1232" spans="1:4" x14ac:dyDescent="0.25">
      <c r="A1232" s="7" t="s">
        <v>5193</v>
      </c>
      <c r="B1232" s="8" t="s">
        <v>166</v>
      </c>
      <c r="C1232" s="8" t="s">
        <v>2273</v>
      </c>
      <c r="D1232" s="8" t="str">
        <f>"9783030528737"</f>
        <v>9783030528737</v>
      </c>
    </row>
    <row r="1233" spans="1:4" ht="30" x14ac:dyDescent="0.25">
      <c r="A1233" s="7" t="s">
        <v>7908</v>
      </c>
      <c r="B1233" s="8" t="s">
        <v>7909</v>
      </c>
      <c r="C1233" s="8" t="s">
        <v>2273</v>
      </c>
      <c r="D1233" s="8" t="str">
        <f>"9783030787332"</f>
        <v>9783030787332</v>
      </c>
    </row>
    <row r="1234" spans="1:4" x14ac:dyDescent="0.25">
      <c r="A1234" s="7" t="s">
        <v>16138</v>
      </c>
      <c r="B1234" s="8" t="s">
        <v>16139</v>
      </c>
      <c r="C1234" s="8" t="s">
        <v>1865</v>
      </c>
      <c r="D1234" s="8" t="str">
        <f>"9789175198644"</f>
        <v>9789175198644</v>
      </c>
    </row>
    <row r="1235" spans="1:4" ht="30" x14ac:dyDescent="0.25">
      <c r="A1235" s="7" t="s">
        <v>8901</v>
      </c>
      <c r="B1235" s="8" t="s">
        <v>8902</v>
      </c>
      <c r="C1235" s="8" t="s">
        <v>2273</v>
      </c>
      <c r="D1235" s="8" t="str">
        <f>"9783030842482"</f>
        <v>9783030842482</v>
      </c>
    </row>
    <row r="1236" spans="1:4" ht="30" x14ac:dyDescent="0.25">
      <c r="A1236" s="7" t="s">
        <v>16035</v>
      </c>
      <c r="B1236" s="8" t="s">
        <v>16036</v>
      </c>
      <c r="C1236" s="8" t="s">
        <v>1865</v>
      </c>
      <c r="D1236" s="8" t="str">
        <f>"9789175191898"</f>
        <v>9789175191898</v>
      </c>
    </row>
    <row r="1237" spans="1:4" ht="30" x14ac:dyDescent="0.25">
      <c r="A1237" s="7" t="s">
        <v>3384</v>
      </c>
      <c r="B1237" s="8" t="s">
        <v>3385</v>
      </c>
      <c r="C1237" s="8" t="s">
        <v>1865</v>
      </c>
      <c r="D1237" s="8" t="str">
        <f>"9789176854495"</f>
        <v>9789176854495</v>
      </c>
    </row>
    <row r="1238" spans="1:4" ht="30" x14ac:dyDescent="0.25">
      <c r="A1238" s="7" t="s">
        <v>8792</v>
      </c>
      <c r="B1238" s="8" t="s">
        <v>43</v>
      </c>
      <c r="C1238" s="8" t="s">
        <v>1962</v>
      </c>
      <c r="D1238" s="8" t="str">
        <f>"9782759232437"</f>
        <v>9782759232437</v>
      </c>
    </row>
    <row r="1239" spans="1:4" ht="30" x14ac:dyDescent="0.25">
      <c r="A1239" s="7" t="s">
        <v>14428</v>
      </c>
      <c r="B1239" s="8" t="s">
        <v>14429</v>
      </c>
      <c r="C1239" s="8" t="s">
        <v>1865</v>
      </c>
      <c r="D1239" s="8" t="str">
        <f>"9789179291389"</f>
        <v>9789179291389</v>
      </c>
    </row>
    <row r="1240" spans="1:4" ht="30" x14ac:dyDescent="0.25">
      <c r="A1240" s="7" t="s">
        <v>15977</v>
      </c>
      <c r="B1240" s="8" t="s">
        <v>15978</v>
      </c>
      <c r="C1240" s="8" t="s">
        <v>1865</v>
      </c>
      <c r="D1240" s="8" t="str">
        <f>"9789176859995"</f>
        <v>9789176859995</v>
      </c>
    </row>
    <row r="1241" spans="1:4" x14ac:dyDescent="0.25">
      <c r="A1241" s="7" t="s">
        <v>16195</v>
      </c>
      <c r="B1241" s="8" t="s">
        <v>16196</v>
      </c>
      <c r="C1241" s="8" t="s">
        <v>1865</v>
      </c>
      <c r="D1241" s="8" t="str">
        <f>"9789175196121"</f>
        <v>9789175196121</v>
      </c>
    </row>
    <row r="1242" spans="1:4" x14ac:dyDescent="0.25">
      <c r="A1242" s="7" t="s">
        <v>1869</v>
      </c>
      <c r="B1242" s="8" t="s">
        <v>1870</v>
      </c>
      <c r="C1242" s="8" t="s">
        <v>1865</v>
      </c>
      <c r="D1242" s="8" t="str">
        <f>"9789175196022"</f>
        <v>9789175196022</v>
      </c>
    </row>
    <row r="1243" spans="1:4" x14ac:dyDescent="0.25">
      <c r="A1243" s="7" t="s">
        <v>6194</v>
      </c>
      <c r="B1243" s="8" t="s">
        <v>6195</v>
      </c>
      <c r="C1243" s="8" t="s">
        <v>2273</v>
      </c>
      <c r="D1243" s="8" t="str">
        <f>"9783319303307"</f>
        <v>9783319303307</v>
      </c>
    </row>
    <row r="1244" spans="1:4" ht="30" x14ac:dyDescent="0.25">
      <c r="A1244" s="7" t="s">
        <v>7386</v>
      </c>
      <c r="B1244" s="8" t="s">
        <v>7387</v>
      </c>
      <c r="C1244" s="8" t="s">
        <v>4245</v>
      </c>
      <c r="D1244" s="8" t="str">
        <f>"9789811626708"</f>
        <v>9789811626708</v>
      </c>
    </row>
    <row r="1245" spans="1:4" x14ac:dyDescent="0.25">
      <c r="A1245" s="7" t="s">
        <v>4493</v>
      </c>
      <c r="B1245" s="8" t="s">
        <v>4494</v>
      </c>
      <c r="C1245" s="8" t="s">
        <v>1865</v>
      </c>
      <c r="D1245" s="8" t="str">
        <f>"9789176850954"</f>
        <v>9789176850954</v>
      </c>
    </row>
    <row r="1246" spans="1:4" ht="30" x14ac:dyDescent="0.25">
      <c r="A1246" s="7" t="s">
        <v>5490</v>
      </c>
      <c r="B1246" s="8" t="s">
        <v>5491</v>
      </c>
      <c r="C1246" s="8" t="s">
        <v>2273</v>
      </c>
      <c r="D1246" s="8" t="str">
        <f>"9783319967523"</f>
        <v>9783319967523</v>
      </c>
    </row>
    <row r="1247" spans="1:4" x14ac:dyDescent="0.25">
      <c r="A1247" s="7" t="s">
        <v>14448</v>
      </c>
      <c r="B1247" s="8" t="s">
        <v>14449</v>
      </c>
      <c r="C1247" s="8" t="s">
        <v>1865</v>
      </c>
      <c r="D1247" s="8" t="str">
        <f>"9789179292355"</f>
        <v>9789179292355</v>
      </c>
    </row>
    <row r="1248" spans="1:4" x14ac:dyDescent="0.25">
      <c r="A1248" s="7" t="s">
        <v>2590</v>
      </c>
      <c r="B1248" s="8" t="s">
        <v>2591</v>
      </c>
      <c r="C1248" s="8" t="s">
        <v>562</v>
      </c>
      <c r="D1248" s="8" t="str">
        <f>"9780822374381"</f>
        <v>9780822374381</v>
      </c>
    </row>
    <row r="1249" spans="1:4" ht="30" x14ac:dyDescent="0.25">
      <c r="A1249" s="7" t="s">
        <v>8899</v>
      </c>
      <c r="B1249" s="8" t="s">
        <v>8900</v>
      </c>
      <c r="C1249" s="8" t="s">
        <v>2273</v>
      </c>
      <c r="D1249" s="8" t="str">
        <f>"9783030842819"</f>
        <v>9783030842819</v>
      </c>
    </row>
    <row r="1250" spans="1:4" x14ac:dyDescent="0.25">
      <c r="A1250" s="7" t="s">
        <v>13438</v>
      </c>
      <c r="B1250" s="8" t="s">
        <v>13439</v>
      </c>
      <c r="C1250" s="8" t="s">
        <v>355</v>
      </c>
      <c r="D1250" s="8" t="str">
        <f>"9788395609596"</f>
        <v>9788395609596</v>
      </c>
    </row>
    <row r="1251" spans="1:4" x14ac:dyDescent="0.25">
      <c r="A1251" s="7" t="s">
        <v>1914</v>
      </c>
      <c r="B1251" s="8" t="s">
        <v>1915</v>
      </c>
      <c r="C1251" s="8" t="s">
        <v>1879</v>
      </c>
      <c r="D1251" s="8" t="str">
        <f>"9781906924140"</f>
        <v>9781906924140</v>
      </c>
    </row>
    <row r="1252" spans="1:4" x14ac:dyDescent="0.25">
      <c r="A1252" s="7" t="s">
        <v>6093</v>
      </c>
      <c r="B1252" s="8" t="s">
        <v>6094</v>
      </c>
      <c r="C1252" s="8" t="s">
        <v>2273</v>
      </c>
      <c r="D1252" s="8" t="str">
        <f>"9783319583884"</f>
        <v>9783319583884</v>
      </c>
    </row>
    <row r="1253" spans="1:4" x14ac:dyDescent="0.25">
      <c r="A1253" s="7" t="s">
        <v>3245</v>
      </c>
      <c r="B1253" s="8" t="s">
        <v>3246</v>
      </c>
      <c r="C1253" s="8" t="s">
        <v>1865</v>
      </c>
      <c r="D1253" s="8" t="str">
        <f>"9789176854938"</f>
        <v>9789176854938</v>
      </c>
    </row>
    <row r="1254" spans="1:4" x14ac:dyDescent="0.25">
      <c r="A1254" s="7" t="s">
        <v>16043</v>
      </c>
      <c r="B1254" s="8" t="s">
        <v>16044</v>
      </c>
      <c r="C1254" s="8" t="s">
        <v>1865</v>
      </c>
      <c r="D1254" s="8" t="str">
        <f>"9789175195469"</f>
        <v>9789175195469</v>
      </c>
    </row>
    <row r="1255" spans="1:4" ht="30" x14ac:dyDescent="0.25">
      <c r="A1255" s="7" t="s">
        <v>15614</v>
      </c>
      <c r="B1255" s="8" t="s">
        <v>15615</v>
      </c>
      <c r="C1255" s="8" t="s">
        <v>1865</v>
      </c>
      <c r="D1255" s="8" t="str">
        <f>"9789175196510"</f>
        <v>9789175196510</v>
      </c>
    </row>
    <row r="1256" spans="1:4" ht="30" x14ac:dyDescent="0.25">
      <c r="A1256" s="7" t="s">
        <v>16007</v>
      </c>
      <c r="B1256" s="8" t="s">
        <v>15615</v>
      </c>
      <c r="C1256" s="8" t="s">
        <v>1865</v>
      </c>
      <c r="D1256" s="8" t="str">
        <f>"9789176857120"</f>
        <v>9789176857120</v>
      </c>
    </row>
    <row r="1257" spans="1:4" x14ac:dyDescent="0.25">
      <c r="A1257" s="7" t="s">
        <v>15003</v>
      </c>
      <c r="B1257" s="8" t="s">
        <v>15004</v>
      </c>
      <c r="C1257" s="8" t="s">
        <v>1865</v>
      </c>
      <c r="D1257" s="8" t="str">
        <f>"9789176856628"</f>
        <v>9789176856628</v>
      </c>
    </row>
    <row r="1258" spans="1:4" x14ac:dyDescent="0.25">
      <c r="A1258" s="7" t="s">
        <v>8962</v>
      </c>
      <c r="B1258" s="8" t="s">
        <v>8963</v>
      </c>
      <c r="C1258" s="8" t="s">
        <v>2273</v>
      </c>
      <c r="D1258" s="8" t="str">
        <f>"9783030678180"</f>
        <v>9783030678180</v>
      </c>
    </row>
    <row r="1259" spans="1:4" x14ac:dyDescent="0.25">
      <c r="A1259" s="7" t="s">
        <v>7836</v>
      </c>
      <c r="B1259" s="8" t="s">
        <v>7837</v>
      </c>
      <c r="C1259" s="8" t="s">
        <v>1865</v>
      </c>
      <c r="D1259" s="8" t="str">
        <f>"9789179290177"</f>
        <v>9789179290177</v>
      </c>
    </row>
    <row r="1260" spans="1:4" x14ac:dyDescent="0.25">
      <c r="A1260" s="7" t="s">
        <v>16403</v>
      </c>
      <c r="B1260" s="8" t="s">
        <v>16404</v>
      </c>
      <c r="C1260" s="8" t="s">
        <v>329</v>
      </c>
      <c r="D1260" s="8" t="str">
        <f>"9789048553075"</f>
        <v>9789048553075</v>
      </c>
    </row>
    <row r="1261" spans="1:4" ht="30" x14ac:dyDescent="0.25">
      <c r="A1261" s="7" t="s">
        <v>16270</v>
      </c>
      <c r="B1261" s="8" t="s">
        <v>16271</v>
      </c>
      <c r="C1261" s="8" t="s">
        <v>1865</v>
      </c>
      <c r="D1261" s="8" t="str">
        <f>"9789175198156"</f>
        <v>9789175198156</v>
      </c>
    </row>
    <row r="1262" spans="1:4" x14ac:dyDescent="0.25">
      <c r="A1262" s="7" t="s">
        <v>8627</v>
      </c>
      <c r="B1262" s="8" t="s">
        <v>8628</v>
      </c>
      <c r="C1262" s="8" t="s">
        <v>562</v>
      </c>
      <c r="D1262" s="8" t="str">
        <f>"9781478091714"</f>
        <v>9781478091714</v>
      </c>
    </row>
    <row r="1263" spans="1:4" ht="30" x14ac:dyDescent="0.25">
      <c r="A1263" s="7" t="s">
        <v>6500</v>
      </c>
      <c r="B1263" s="8" t="s">
        <v>6501</v>
      </c>
      <c r="C1263" s="8" t="s">
        <v>1865</v>
      </c>
      <c r="D1263" s="8" t="str">
        <f>"9789179297305"</f>
        <v>9789179297305</v>
      </c>
    </row>
    <row r="1264" spans="1:4" x14ac:dyDescent="0.25">
      <c r="A1264" s="7" t="s">
        <v>5545</v>
      </c>
      <c r="B1264" s="8" t="s">
        <v>5546</v>
      </c>
      <c r="C1264" s="8" t="s">
        <v>1865</v>
      </c>
      <c r="D1264" s="8" t="str">
        <f>"9789179298098"</f>
        <v>9789179298098</v>
      </c>
    </row>
    <row r="1265" spans="1:4" ht="30" x14ac:dyDescent="0.25">
      <c r="A1265" s="7" t="s">
        <v>4958</v>
      </c>
      <c r="B1265" s="8" t="s">
        <v>4959</v>
      </c>
      <c r="C1265" s="8" t="s">
        <v>1865</v>
      </c>
      <c r="D1265" s="8" t="str">
        <f>"9789179298609"</f>
        <v>9789179298609</v>
      </c>
    </row>
    <row r="1266" spans="1:4" x14ac:dyDescent="0.25">
      <c r="A1266" s="7" t="s">
        <v>5124</v>
      </c>
      <c r="B1266" s="8" t="s">
        <v>5125</v>
      </c>
      <c r="C1266" s="8" t="s">
        <v>2273</v>
      </c>
      <c r="D1266" s="8" t="str">
        <f>"9783030510190"</f>
        <v>9783030510190</v>
      </c>
    </row>
    <row r="1267" spans="1:4" x14ac:dyDescent="0.25">
      <c r="A1267" s="7" t="s">
        <v>3757</v>
      </c>
      <c r="B1267" s="8" t="s">
        <v>3758</v>
      </c>
      <c r="C1267" s="8" t="s">
        <v>1865</v>
      </c>
      <c r="D1267" s="8" t="str">
        <f>"9789176853344"</f>
        <v>9789176853344</v>
      </c>
    </row>
    <row r="1268" spans="1:4" ht="30" x14ac:dyDescent="0.25">
      <c r="A1268" s="7" t="s">
        <v>15337</v>
      </c>
      <c r="B1268" s="8" t="s">
        <v>15338</v>
      </c>
      <c r="C1268" s="8" t="s">
        <v>1865</v>
      </c>
      <c r="D1268" s="8" t="str">
        <f>"9789175197579"</f>
        <v>9789175197579</v>
      </c>
    </row>
    <row r="1269" spans="1:4" x14ac:dyDescent="0.25">
      <c r="A1269" s="7" t="s">
        <v>4068</v>
      </c>
      <c r="B1269" s="8" t="s">
        <v>481</v>
      </c>
      <c r="C1269" s="8" t="s">
        <v>355</v>
      </c>
      <c r="D1269" s="8" t="str">
        <f>"9783110576498"</f>
        <v>9783110576498</v>
      </c>
    </row>
    <row r="1270" spans="1:4" x14ac:dyDescent="0.25">
      <c r="A1270" s="7" t="s">
        <v>9610</v>
      </c>
      <c r="B1270" s="8" t="s">
        <v>9612</v>
      </c>
      <c r="C1270" s="8" t="s">
        <v>9611</v>
      </c>
      <c r="D1270" s="8" t="str">
        <f>"9781800103030"</f>
        <v>9781800103030</v>
      </c>
    </row>
    <row r="1271" spans="1:4" x14ac:dyDescent="0.25">
      <c r="A1271" s="7" t="s">
        <v>11973</v>
      </c>
      <c r="B1271" s="8" t="s">
        <v>11974</v>
      </c>
      <c r="C1271" s="8" t="s">
        <v>355</v>
      </c>
      <c r="D1271" s="8" t="str">
        <f>"9783111721088"</f>
        <v>9783111721088</v>
      </c>
    </row>
    <row r="1272" spans="1:4" ht="30" x14ac:dyDescent="0.25">
      <c r="A1272" s="7" t="s">
        <v>12516</v>
      </c>
      <c r="B1272" s="8" t="s">
        <v>12517</v>
      </c>
      <c r="C1272" s="8" t="s">
        <v>355</v>
      </c>
      <c r="D1272" s="8" t="str">
        <f>"9783110643060"</f>
        <v>9783110643060</v>
      </c>
    </row>
    <row r="1273" spans="1:4" x14ac:dyDescent="0.25">
      <c r="A1273" s="7" t="s">
        <v>3852</v>
      </c>
      <c r="B1273" s="8" t="s">
        <v>3853</v>
      </c>
      <c r="C1273" s="8" t="s">
        <v>316</v>
      </c>
      <c r="D1273" s="8" t="str">
        <f>"9783110516371"</f>
        <v>9783110516371</v>
      </c>
    </row>
    <row r="1274" spans="1:4" x14ac:dyDescent="0.25">
      <c r="A1274" s="7" t="s">
        <v>3822</v>
      </c>
      <c r="B1274" s="8" t="s">
        <v>3823</v>
      </c>
      <c r="C1274" s="8" t="s">
        <v>355</v>
      </c>
      <c r="D1274" s="8" t="str">
        <f>"9783110416794"</f>
        <v>9783110416794</v>
      </c>
    </row>
    <row r="1275" spans="1:4" x14ac:dyDescent="0.25">
      <c r="A1275" s="7" t="s">
        <v>980</v>
      </c>
      <c r="B1275" s="8" t="s">
        <v>981</v>
      </c>
      <c r="C1275" s="8" t="s">
        <v>355</v>
      </c>
      <c r="D1275" s="8" t="str">
        <f>"9783110426403"</f>
        <v>9783110426403</v>
      </c>
    </row>
    <row r="1276" spans="1:4" ht="30" x14ac:dyDescent="0.25">
      <c r="A1276" s="7" t="s">
        <v>2458</v>
      </c>
      <c r="B1276" s="8" t="s">
        <v>2459</v>
      </c>
      <c r="C1276" s="8" t="s">
        <v>1865</v>
      </c>
      <c r="D1276" s="8" t="str">
        <f>"9789176859629"</f>
        <v>9789176859629</v>
      </c>
    </row>
    <row r="1277" spans="1:4" x14ac:dyDescent="0.25">
      <c r="A1277" s="7" t="s">
        <v>10069</v>
      </c>
      <c r="B1277" s="8" t="s">
        <v>7174</v>
      </c>
      <c r="C1277" s="8" t="s">
        <v>993</v>
      </c>
      <c r="D1277" s="8" t="str">
        <f>"9783839428351"</f>
        <v>9783839428351</v>
      </c>
    </row>
    <row r="1278" spans="1:4" ht="30" x14ac:dyDescent="0.25">
      <c r="A1278" s="7" t="s">
        <v>5264</v>
      </c>
      <c r="B1278" s="8" t="s">
        <v>5265</v>
      </c>
      <c r="C1278" s="8" t="s">
        <v>2273</v>
      </c>
      <c r="D1278" s="8" t="str">
        <f>"9783319454719"</f>
        <v>9783319454719</v>
      </c>
    </row>
    <row r="1279" spans="1:4" ht="30" x14ac:dyDescent="0.25">
      <c r="A1279" s="7" t="s">
        <v>3614</v>
      </c>
      <c r="B1279" s="8" t="s">
        <v>3615</v>
      </c>
      <c r="C1279" s="8" t="s">
        <v>1865</v>
      </c>
      <c r="D1279" s="8" t="str">
        <f>"9789176853566"</f>
        <v>9789176853566</v>
      </c>
    </row>
    <row r="1280" spans="1:4" ht="30" x14ac:dyDescent="0.25">
      <c r="A1280" s="7" t="s">
        <v>2248</v>
      </c>
      <c r="B1280" s="8" t="s">
        <v>2249</v>
      </c>
      <c r="C1280" s="8" t="s">
        <v>316</v>
      </c>
      <c r="D1280" s="8" t="str">
        <f>"9783110371758"</f>
        <v>9783110371758</v>
      </c>
    </row>
    <row r="1281" spans="1:4" x14ac:dyDescent="0.25">
      <c r="A1281" s="7" t="s">
        <v>6645</v>
      </c>
      <c r="B1281" s="8" t="s">
        <v>6646</v>
      </c>
      <c r="C1281" s="8" t="s">
        <v>2273</v>
      </c>
      <c r="D1281" s="8" t="str">
        <f>"9783030617288"</f>
        <v>9783030617288</v>
      </c>
    </row>
    <row r="1282" spans="1:4" x14ac:dyDescent="0.25">
      <c r="A1282" s="7" t="s">
        <v>1665</v>
      </c>
      <c r="B1282" s="8" t="s">
        <v>1666</v>
      </c>
      <c r="C1282" s="8" t="s">
        <v>1345</v>
      </c>
      <c r="D1282" s="8" t="str">
        <f>"9783862191031"</f>
        <v>9783862191031</v>
      </c>
    </row>
    <row r="1283" spans="1:4" x14ac:dyDescent="0.25">
      <c r="A1283" s="7" t="s">
        <v>13947</v>
      </c>
      <c r="B1283" s="8" t="s">
        <v>13948</v>
      </c>
      <c r="C1283" s="8" t="s">
        <v>2273</v>
      </c>
      <c r="D1283" s="8" t="str">
        <f>"9783031170843"</f>
        <v>9783031170843</v>
      </c>
    </row>
    <row r="1284" spans="1:4" ht="30" x14ac:dyDescent="0.25">
      <c r="A1284" s="7" t="s">
        <v>15280</v>
      </c>
      <c r="B1284" s="8" t="s">
        <v>15281</v>
      </c>
      <c r="C1284" s="8" t="s">
        <v>1865</v>
      </c>
      <c r="D1284" s="8" t="str">
        <f>"9789175197074"</f>
        <v>9789175197074</v>
      </c>
    </row>
    <row r="1285" spans="1:4" ht="30" x14ac:dyDescent="0.25">
      <c r="A1285" s="7" t="s">
        <v>999</v>
      </c>
      <c r="B1285" s="8" t="s">
        <v>1000</v>
      </c>
      <c r="C1285" s="8" t="s">
        <v>993</v>
      </c>
      <c r="D1285" s="8" t="str">
        <f>"9783839429907"</f>
        <v>9783839429907</v>
      </c>
    </row>
    <row r="1286" spans="1:4" x14ac:dyDescent="0.25">
      <c r="A1286" s="7" t="s">
        <v>5762</v>
      </c>
      <c r="B1286" s="8" t="s">
        <v>5763</v>
      </c>
      <c r="C1286" s="8" t="s">
        <v>2273</v>
      </c>
      <c r="D1286" s="8" t="str">
        <f>"9783319077703"</f>
        <v>9783319077703</v>
      </c>
    </row>
    <row r="1287" spans="1:4" ht="30" x14ac:dyDescent="0.25">
      <c r="A1287" s="7" t="s">
        <v>2252</v>
      </c>
      <c r="B1287" s="8" t="s">
        <v>2253</v>
      </c>
      <c r="C1287" s="8" t="s">
        <v>355</v>
      </c>
      <c r="D1287" s="8" t="str">
        <f>"9783486989311"</f>
        <v>9783486989311</v>
      </c>
    </row>
    <row r="1288" spans="1:4" ht="30" x14ac:dyDescent="0.25">
      <c r="A1288" s="7" t="s">
        <v>5632</v>
      </c>
      <c r="B1288" s="8" t="s">
        <v>5633</v>
      </c>
      <c r="C1288" s="8" t="s">
        <v>2273</v>
      </c>
      <c r="D1288" s="8" t="str">
        <f>"9783319429700"</f>
        <v>9783319429700</v>
      </c>
    </row>
    <row r="1289" spans="1:4" ht="30" x14ac:dyDescent="0.25">
      <c r="A1289" s="7" t="s">
        <v>10493</v>
      </c>
      <c r="B1289" s="8" t="s">
        <v>10494</v>
      </c>
      <c r="C1289" s="8" t="s">
        <v>993</v>
      </c>
      <c r="D1289" s="8" t="str">
        <f>"9783839457993"</f>
        <v>9783839457993</v>
      </c>
    </row>
    <row r="1290" spans="1:4" x14ac:dyDescent="0.25">
      <c r="A1290" s="7" t="s">
        <v>16244</v>
      </c>
      <c r="B1290" s="8" t="s">
        <v>15323</v>
      </c>
      <c r="C1290" s="8" t="s">
        <v>1865</v>
      </c>
      <c r="D1290" s="8" t="str">
        <f>"9789175193755"</f>
        <v>9789175193755</v>
      </c>
    </row>
    <row r="1291" spans="1:4" x14ac:dyDescent="0.25">
      <c r="A1291" s="7" t="s">
        <v>7177</v>
      </c>
      <c r="B1291" s="8" t="s">
        <v>7178</v>
      </c>
      <c r="C1291" s="8" t="s">
        <v>355</v>
      </c>
      <c r="D1291" s="8" t="str">
        <f>"9783110659658"</f>
        <v>9783110659658</v>
      </c>
    </row>
    <row r="1292" spans="1:4" x14ac:dyDescent="0.25">
      <c r="A1292" s="7" t="s">
        <v>8522</v>
      </c>
      <c r="B1292" s="8" t="s">
        <v>8523</v>
      </c>
      <c r="C1292" s="8" t="s">
        <v>993</v>
      </c>
      <c r="D1292" s="8" t="str">
        <f>"9783839457474"</f>
        <v>9783839457474</v>
      </c>
    </row>
    <row r="1293" spans="1:4" x14ac:dyDescent="0.25">
      <c r="A1293" s="7" t="s">
        <v>14870</v>
      </c>
      <c r="B1293" s="8" t="s">
        <v>3264</v>
      </c>
      <c r="C1293" s="8" t="s">
        <v>1865</v>
      </c>
      <c r="D1293" s="8" t="str">
        <f>"9789175192017"</f>
        <v>9789175192017</v>
      </c>
    </row>
    <row r="1294" spans="1:4" x14ac:dyDescent="0.25">
      <c r="A1294" s="7" t="s">
        <v>3263</v>
      </c>
      <c r="B1294" s="8" t="s">
        <v>3264</v>
      </c>
      <c r="C1294" s="8" t="s">
        <v>1865</v>
      </c>
      <c r="D1294" s="8" t="str">
        <f>"9789176855225"</f>
        <v>9789176855225</v>
      </c>
    </row>
    <row r="1295" spans="1:4" x14ac:dyDescent="0.25">
      <c r="A1295" s="7" t="s">
        <v>8105</v>
      </c>
      <c r="B1295" s="8" t="s">
        <v>8106</v>
      </c>
      <c r="C1295" s="8" t="s">
        <v>1865</v>
      </c>
      <c r="D1295" s="8" t="str">
        <f>"9789179296216"</f>
        <v>9789179296216</v>
      </c>
    </row>
    <row r="1296" spans="1:4" x14ac:dyDescent="0.25">
      <c r="A1296" s="7" t="s">
        <v>7234</v>
      </c>
      <c r="B1296" s="8" t="s">
        <v>7235</v>
      </c>
      <c r="C1296" s="8" t="s">
        <v>355</v>
      </c>
      <c r="D1296" s="8" t="str">
        <f>"9783110632446"</f>
        <v>9783110632446</v>
      </c>
    </row>
    <row r="1297" spans="1:4" x14ac:dyDescent="0.25">
      <c r="A1297" s="7" t="s">
        <v>15373</v>
      </c>
      <c r="B1297" s="8" t="s">
        <v>15374</v>
      </c>
      <c r="C1297" s="8" t="s">
        <v>1865</v>
      </c>
      <c r="D1297" s="8" t="str">
        <f>"9789175191546"</f>
        <v>9789175191546</v>
      </c>
    </row>
    <row r="1298" spans="1:4" ht="30" x14ac:dyDescent="0.25">
      <c r="A1298" s="7" t="s">
        <v>2157</v>
      </c>
      <c r="B1298" s="8" t="s">
        <v>2158</v>
      </c>
      <c r="C1298" s="8" t="s">
        <v>1879</v>
      </c>
      <c r="D1298" s="8" t="str">
        <f>"9781783741144"</f>
        <v>9781783741144</v>
      </c>
    </row>
    <row r="1299" spans="1:4" x14ac:dyDescent="0.25">
      <c r="A1299" s="7" t="s">
        <v>4389</v>
      </c>
      <c r="B1299" s="8" t="s">
        <v>4390</v>
      </c>
      <c r="C1299" s="8" t="s">
        <v>1345</v>
      </c>
      <c r="D1299" s="8" t="str">
        <f>"9783737606677"</f>
        <v>9783737606677</v>
      </c>
    </row>
    <row r="1300" spans="1:4" x14ac:dyDescent="0.25">
      <c r="A1300" s="7" t="s">
        <v>10738</v>
      </c>
      <c r="B1300" s="8" t="s">
        <v>10739</v>
      </c>
      <c r="C1300" s="8" t="s">
        <v>1876</v>
      </c>
      <c r="D1300" s="8" t="str">
        <f>"9780980464894"</f>
        <v>9780980464894</v>
      </c>
    </row>
    <row r="1301" spans="1:4" ht="30" x14ac:dyDescent="0.25">
      <c r="A1301" s="7" t="s">
        <v>5627</v>
      </c>
      <c r="B1301" s="8" t="s">
        <v>5628</v>
      </c>
      <c r="C1301" s="8" t="s">
        <v>4245</v>
      </c>
      <c r="D1301" s="8" t="str">
        <f>"9789811060113"</f>
        <v>9789811060113</v>
      </c>
    </row>
    <row r="1302" spans="1:4" x14ac:dyDescent="0.25">
      <c r="A1302" s="7" t="s">
        <v>7868</v>
      </c>
      <c r="B1302" s="8" t="s">
        <v>7869</v>
      </c>
      <c r="C1302" s="8" t="s">
        <v>2273</v>
      </c>
      <c r="D1302" s="8" t="str">
        <f>"9783030796754"</f>
        <v>9783030796754</v>
      </c>
    </row>
    <row r="1303" spans="1:4" ht="30" x14ac:dyDescent="0.25">
      <c r="A1303" s="7" t="s">
        <v>15315</v>
      </c>
      <c r="B1303" s="8" t="s">
        <v>2928</v>
      </c>
      <c r="C1303" s="8" t="s">
        <v>1865</v>
      </c>
      <c r="D1303" s="8" t="str">
        <f>"9789175195643"</f>
        <v>9789175195643</v>
      </c>
    </row>
    <row r="1304" spans="1:4" x14ac:dyDescent="0.25">
      <c r="A1304" s="7" t="s">
        <v>2068</v>
      </c>
      <c r="B1304" s="8" t="s">
        <v>2069</v>
      </c>
      <c r="C1304" s="8" t="s">
        <v>1962</v>
      </c>
      <c r="D1304" s="8" t="str">
        <f>"9782759222438"</f>
        <v>9782759222438</v>
      </c>
    </row>
    <row r="1305" spans="1:4" x14ac:dyDescent="0.25">
      <c r="A1305" s="7" t="s">
        <v>15249</v>
      </c>
      <c r="B1305" s="8" t="s">
        <v>15250</v>
      </c>
      <c r="C1305" s="8" t="s">
        <v>1865</v>
      </c>
      <c r="D1305" s="8" t="str">
        <f>"9789180750561"</f>
        <v>9789180750561</v>
      </c>
    </row>
    <row r="1306" spans="1:4" x14ac:dyDescent="0.25">
      <c r="A1306" s="7" t="s">
        <v>15198</v>
      </c>
      <c r="B1306" s="8" t="s">
        <v>15199</v>
      </c>
      <c r="C1306" s="8" t="s">
        <v>1865</v>
      </c>
      <c r="D1306" s="8" t="str">
        <f>"9789175194530"</f>
        <v>9789175194530</v>
      </c>
    </row>
    <row r="1307" spans="1:4" x14ac:dyDescent="0.25">
      <c r="A1307" s="7" t="s">
        <v>5674</v>
      </c>
      <c r="B1307" s="8" t="s">
        <v>5675</v>
      </c>
      <c r="C1307" s="8" t="s">
        <v>2273</v>
      </c>
      <c r="D1307" s="8" t="str">
        <f>"9783319459776"</f>
        <v>9783319459776</v>
      </c>
    </row>
    <row r="1308" spans="1:4" x14ac:dyDescent="0.25">
      <c r="A1308" s="7" t="s">
        <v>5008</v>
      </c>
      <c r="B1308" s="8" t="s">
        <v>5009</v>
      </c>
      <c r="C1308" s="8" t="s">
        <v>355</v>
      </c>
      <c r="D1308" s="8" t="str">
        <f>"9783110618594"</f>
        <v>9783110618594</v>
      </c>
    </row>
    <row r="1309" spans="1:4" x14ac:dyDescent="0.25">
      <c r="A1309" s="7" t="s">
        <v>11554</v>
      </c>
      <c r="B1309" s="8" t="s">
        <v>5009</v>
      </c>
      <c r="C1309" s="8" t="s">
        <v>355</v>
      </c>
      <c r="D1309" s="8" t="str">
        <f>"9783110671995"</f>
        <v>9783110671995</v>
      </c>
    </row>
    <row r="1310" spans="1:4" x14ac:dyDescent="0.25">
      <c r="A1310" s="7" t="s">
        <v>308</v>
      </c>
      <c r="B1310" s="8" t="s">
        <v>310</v>
      </c>
      <c r="C1310" s="8" t="s">
        <v>309</v>
      </c>
      <c r="D1310" s="8" t="str">
        <f>"9781592134922"</f>
        <v>9781592134922</v>
      </c>
    </row>
    <row r="1311" spans="1:4" x14ac:dyDescent="0.25">
      <c r="A1311" s="7" t="s">
        <v>6827</v>
      </c>
      <c r="B1311" s="8" t="s">
        <v>6828</v>
      </c>
      <c r="C1311" s="8" t="s">
        <v>4245</v>
      </c>
      <c r="D1311" s="8" t="str">
        <f>"9789811621710"</f>
        <v>9789811621710</v>
      </c>
    </row>
    <row r="1312" spans="1:4" x14ac:dyDescent="0.25">
      <c r="A1312" s="7" t="s">
        <v>2016</v>
      </c>
      <c r="B1312" s="8" t="s">
        <v>1976</v>
      </c>
      <c r="C1312" s="8" t="s">
        <v>1962</v>
      </c>
      <c r="D1312" s="8" t="str">
        <f>"9782759207053"</f>
        <v>9782759207053</v>
      </c>
    </row>
    <row r="1313" spans="1:4" x14ac:dyDescent="0.25">
      <c r="A1313" s="7" t="s">
        <v>5305</v>
      </c>
      <c r="B1313" s="8" t="s">
        <v>5306</v>
      </c>
      <c r="C1313" s="8" t="s">
        <v>2273</v>
      </c>
      <c r="D1313" s="8" t="str">
        <f>"9783319201702"</f>
        <v>9783319201702</v>
      </c>
    </row>
    <row r="1314" spans="1:4" x14ac:dyDescent="0.25">
      <c r="A1314" s="7" t="s">
        <v>15155</v>
      </c>
      <c r="B1314" s="8" t="s">
        <v>8072</v>
      </c>
      <c r="C1314" s="8" t="s">
        <v>1865</v>
      </c>
      <c r="D1314" s="8" t="str">
        <f>"9789179299477"</f>
        <v>9789179299477</v>
      </c>
    </row>
    <row r="1315" spans="1:4" ht="45" x14ac:dyDescent="0.25">
      <c r="A1315" s="7" t="s">
        <v>2217</v>
      </c>
      <c r="B1315" s="8" t="s">
        <v>2218</v>
      </c>
      <c r="C1315" s="8" t="s">
        <v>316</v>
      </c>
      <c r="D1315" s="8" t="str">
        <f>"9783110288384"</f>
        <v>9783110288384</v>
      </c>
    </row>
    <row r="1316" spans="1:4" x14ac:dyDescent="0.25">
      <c r="A1316" s="7" t="s">
        <v>3188</v>
      </c>
      <c r="B1316" s="8" t="s">
        <v>3189</v>
      </c>
      <c r="C1316" s="8" t="s">
        <v>1865</v>
      </c>
      <c r="D1316" s="8" t="str">
        <f>"9789176855195"</f>
        <v>9789176855195</v>
      </c>
    </row>
    <row r="1317" spans="1:4" ht="30" x14ac:dyDescent="0.25">
      <c r="A1317" s="7" t="s">
        <v>2858</v>
      </c>
      <c r="B1317" s="8" t="s">
        <v>2859</v>
      </c>
      <c r="C1317" s="8" t="s">
        <v>1865</v>
      </c>
      <c r="D1317" s="8" t="str">
        <f>"9789176856741"</f>
        <v>9789176856741</v>
      </c>
    </row>
    <row r="1318" spans="1:4" x14ac:dyDescent="0.25">
      <c r="A1318" s="7" t="s">
        <v>1336</v>
      </c>
      <c r="B1318" s="8" t="s">
        <v>1337</v>
      </c>
      <c r="C1318" s="8" t="s">
        <v>1332</v>
      </c>
      <c r="D1318" s="8" t="str">
        <f>"9781780400457"</f>
        <v>9781780400457</v>
      </c>
    </row>
    <row r="1319" spans="1:4" ht="30" x14ac:dyDescent="0.25">
      <c r="A1319" s="7" t="s">
        <v>15032</v>
      </c>
      <c r="B1319" s="8" t="s">
        <v>15033</v>
      </c>
      <c r="C1319" s="8" t="s">
        <v>1865</v>
      </c>
      <c r="D1319" s="8" t="str">
        <f>"9789175199214"</f>
        <v>9789175199214</v>
      </c>
    </row>
    <row r="1320" spans="1:4" x14ac:dyDescent="0.25">
      <c r="A1320" s="7" t="s">
        <v>1778</v>
      </c>
      <c r="B1320" s="8" t="s">
        <v>1779</v>
      </c>
      <c r="C1320" s="8" t="s">
        <v>1345</v>
      </c>
      <c r="D1320" s="8" t="str">
        <f>"9783862197576"</f>
        <v>9783862197576</v>
      </c>
    </row>
    <row r="1321" spans="1:4" x14ac:dyDescent="0.25">
      <c r="A1321" s="7" t="s">
        <v>10645</v>
      </c>
      <c r="B1321" s="8" t="s">
        <v>10646</v>
      </c>
      <c r="C1321" s="8" t="s">
        <v>1865</v>
      </c>
      <c r="D1321" s="8" t="str">
        <f>"9789179293369"</f>
        <v>9789179293369</v>
      </c>
    </row>
    <row r="1322" spans="1:4" x14ac:dyDescent="0.25">
      <c r="A1322" s="7" t="s">
        <v>15273</v>
      </c>
      <c r="B1322" s="8" t="s">
        <v>15274</v>
      </c>
      <c r="C1322" s="8" t="s">
        <v>1865</v>
      </c>
      <c r="D1322" s="8" t="str">
        <f>"9789175195445"</f>
        <v>9789175195445</v>
      </c>
    </row>
    <row r="1323" spans="1:4" ht="30" x14ac:dyDescent="0.25">
      <c r="A1323" s="7" t="s">
        <v>15469</v>
      </c>
      <c r="B1323" s="8" t="s">
        <v>15470</v>
      </c>
      <c r="C1323" s="8" t="s">
        <v>1865</v>
      </c>
      <c r="D1323" s="8" t="str">
        <f>"9789179295349"</f>
        <v>9789179295349</v>
      </c>
    </row>
    <row r="1324" spans="1:4" x14ac:dyDescent="0.25">
      <c r="A1324" s="7" t="s">
        <v>4856</v>
      </c>
      <c r="B1324" s="8" t="s">
        <v>4857</v>
      </c>
      <c r="C1324" s="8" t="s">
        <v>1865</v>
      </c>
      <c r="D1324" s="8" t="str">
        <f>"9789179299057"</f>
        <v>9789179299057</v>
      </c>
    </row>
    <row r="1325" spans="1:4" x14ac:dyDescent="0.25">
      <c r="A1325" s="7" t="s">
        <v>10707</v>
      </c>
      <c r="B1325" s="8" t="s">
        <v>10708</v>
      </c>
      <c r="C1325" s="8" t="s">
        <v>2273</v>
      </c>
      <c r="D1325" s="8" t="str">
        <f>"9783031051647"</f>
        <v>9783031051647</v>
      </c>
    </row>
    <row r="1326" spans="1:4" x14ac:dyDescent="0.25">
      <c r="A1326" s="7" t="s">
        <v>14306</v>
      </c>
      <c r="B1326" s="8" t="s">
        <v>10708</v>
      </c>
      <c r="C1326" s="8" t="s">
        <v>2274</v>
      </c>
      <c r="D1326" s="8" t="str">
        <f>"9783031253744"</f>
        <v>9783031253744</v>
      </c>
    </row>
    <row r="1327" spans="1:4" x14ac:dyDescent="0.25">
      <c r="A1327" s="7" t="s">
        <v>14584</v>
      </c>
      <c r="B1327" s="8" t="s">
        <v>14585</v>
      </c>
      <c r="C1327" s="8" t="s">
        <v>1865</v>
      </c>
      <c r="D1327" s="8" t="str">
        <f>"9789179293819"</f>
        <v>9789179293819</v>
      </c>
    </row>
    <row r="1328" spans="1:4" x14ac:dyDescent="0.25">
      <c r="A1328" s="7" t="s">
        <v>2500</v>
      </c>
      <c r="B1328" s="8" t="s">
        <v>2501</v>
      </c>
      <c r="C1328" s="8" t="s">
        <v>1865</v>
      </c>
      <c r="D1328" s="8" t="str">
        <f>"9789176859223"</f>
        <v>9789176859223</v>
      </c>
    </row>
    <row r="1329" spans="1:4" ht="30" x14ac:dyDescent="0.25">
      <c r="A1329" s="7" t="s">
        <v>8677</v>
      </c>
      <c r="B1329" s="8" t="s">
        <v>8678</v>
      </c>
      <c r="C1329" s="8" t="s">
        <v>1865</v>
      </c>
      <c r="D1329" s="8" t="str">
        <f>"9789179291433"</f>
        <v>9789179291433</v>
      </c>
    </row>
    <row r="1330" spans="1:4" x14ac:dyDescent="0.25">
      <c r="A1330" s="7" t="s">
        <v>14846</v>
      </c>
      <c r="B1330" s="8" t="s">
        <v>14847</v>
      </c>
      <c r="C1330" s="8" t="s">
        <v>1865</v>
      </c>
      <c r="D1330" s="8" t="str">
        <f>"9789175199443"</f>
        <v>9789175199443</v>
      </c>
    </row>
    <row r="1331" spans="1:4" ht="30" x14ac:dyDescent="0.25">
      <c r="A1331" s="7" t="s">
        <v>5388</v>
      </c>
      <c r="B1331" s="8" t="s">
        <v>5389</v>
      </c>
      <c r="C1331" s="8" t="s">
        <v>1865</v>
      </c>
      <c r="D1331" s="8" t="str">
        <f>"9789179297985"</f>
        <v>9789179297985</v>
      </c>
    </row>
    <row r="1332" spans="1:4" ht="30" x14ac:dyDescent="0.25">
      <c r="A1332" s="7" t="s">
        <v>7353</v>
      </c>
      <c r="B1332" s="8" t="s">
        <v>7354</v>
      </c>
      <c r="C1332" s="8" t="s">
        <v>2273</v>
      </c>
      <c r="D1332" s="8" t="str">
        <f>"9783030816858"</f>
        <v>9783030816858</v>
      </c>
    </row>
    <row r="1333" spans="1:4" ht="30" x14ac:dyDescent="0.25">
      <c r="A1333" s="7" t="s">
        <v>7355</v>
      </c>
      <c r="B1333" s="8" t="s">
        <v>7354</v>
      </c>
      <c r="C1333" s="8" t="s">
        <v>2273</v>
      </c>
      <c r="D1333" s="8" t="str">
        <f>"9783030816889"</f>
        <v>9783030816889</v>
      </c>
    </row>
    <row r="1334" spans="1:4" ht="30" x14ac:dyDescent="0.25">
      <c r="A1334" s="7" t="s">
        <v>12513</v>
      </c>
      <c r="B1334" s="8" t="s">
        <v>12510</v>
      </c>
      <c r="C1334" s="8" t="s">
        <v>2273</v>
      </c>
      <c r="D1334" s="8" t="str">
        <f>"9783031131851"</f>
        <v>9783031131851</v>
      </c>
    </row>
    <row r="1335" spans="1:4" ht="30" x14ac:dyDescent="0.25">
      <c r="A1335" s="7" t="s">
        <v>12509</v>
      </c>
      <c r="B1335" s="8" t="s">
        <v>12510</v>
      </c>
      <c r="C1335" s="8" t="s">
        <v>2273</v>
      </c>
      <c r="D1335" s="8" t="str">
        <f>"9783031131882"</f>
        <v>9783031131882</v>
      </c>
    </row>
    <row r="1336" spans="1:4" ht="30" x14ac:dyDescent="0.25">
      <c r="A1336" s="7" t="s">
        <v>1591</v>
      </c>
      <c r="B1336" s="8" t="s">
        <v>1592</v>
      </c>
      <c r="C1336" s="8" t="s">
        <v>1345</v>
      </c>
      <c r="D1336" s="8" t="str">
        <f>"9783862193899"</f>
        <v>9783862193899</v>
      </c>
    </row>
    <row r="1337" spans="1:4" x14ac:dyDescent="0.25">
      <c r="A1337" s="7" t="s">
        <v>5983</v>
      </c>
      <c r="B1337" s="8" t="s">
        <v>5984</v>
      </c>
      <c r="C1337" s="8" t="s">
        <v>5484</v>
      </c>
      <c r="D1337" s="8" t="str">
        <f>"9781430259305"</f>
        <v>9781430259305</v>
      </c>
    </row>
    <row r="1338" spans="1:4" x14ac:dyDescent="0.25">
      <c r="A1338" s="7" t="s">
        <v>10003</v>
      </c>
      <c r="B1338" s="8" t="s">
        <v>10004</v>
      </c>
      <c r="C1338" s="8" t="s">
        <v>993</v>
      </c>
      <c r="D1338" s="8" t="str">
        <f>"9783839409862"</f>
        <v>9783839409862</v>
      </c>
    </row>
    <row r="1339" spans="1:4" ht="30" x14ac:dyDescent="0.25">
      <c r="A1339" s="7" t="s">
        <v>14054</v>
      </c>
      <c r="B1339" s="8" t="s">
        <v>207</v>
      </c>
      <c r="C1339" s="8" t="s">
        <v>13997</v>
      </c>
      <c r="D1339" s="8" t="str">
        <f>"9789568416720"</f>
        <v>9789568416720</v>
      </c>
    </row>
    <row r="1340" spans="1:4" ht="30" x14ac:dyDescent="0.25">
      <c r="A1340" s="7" t="s">
        <v>10837</v>
      </c>
      <c r="B1340" s="8" t="s">
        <v>10838</v>
      </c>
      <c r="C1340" s="8" t="s">
        <v>2273</v>
      </c>
      <c r="D1340" s="8" t="str">
        <f>"9783030693459"</f>
        <v>9783030693459</v>
      </c>
    </row>
    <row r="1341" spans="1:4" x14ac:dyDescent="0.25">
      <c r="A1341" s="7" t="s">
        <v>12141</v>
      </c>
      <c r="B1341" s="8" t="s">
        <v>12142</v>
      </c>
      <c r="C1341" s="8" t="s">
        <v>355</v>
      </c>
      <c r="D1341" s="8" t="str">
        <f>"9783110736076"</f>
        <v>9783110736076</v>
      </c>
    </row>
    <row r="1342" spans="1:4" x14ac:dyDescent="0.25">
      <c r="A1342" s="7" t="s">
        <v>7415</v>
      </c>
      <c r="B1342" s="8" t="s">
        <v>7416</v>
      </c>
      <c r="C1342" s="8" t="s">
        <v>2273</v>
      </c>
      <c r="D1342" s="8" t="str">
        <f>"9783030698232"</f>
        <v>9783030698232</v>
      </c>
    </row>
    <row r="1343" spans="1:4" x14ac:dyDescent="0.25">
      <c r="A1343" s="7" t="s">
        <v>6959</v>
      </c>
      <c r="B1343" s="8" t="s">
        <v>6960</v>
      </c>
      <c r="C1343" s="8" t="s">
        <v>2273</v>
      </c>
      <c r="D1343" s="8" t="str">
        <f>"9783030502003"</f>
        <v>9783030502003</v>
      </c>
    </row>
    <row r="1344" spans="1:4" x14ac:dyDescent="0.25">
      <c r="A1344" s="7" t="s">
        <v>3398</v>
      </c>
      <c r="B1344" s="8" t="s">
        <v>3399</v>
      </c>
      <c r="C1344" s="8" t="s">
        <v>1865</v>
      </c>
      <c r="D1344" s="8" t="str">
        <f>"9789176854471"</f>
        <v>9789176854471</v>
      </c>
    </row>
    <row r="1345" spans="1:4" x14ac:dyDescent="0.25">
      <c r="A1345" s="7" t="s">
        <v>11171</v>
      </c>
      <c r="B1345" s="8" t="s">
        <v>167</v>
      </c>
      <c r="C1345" s="8" t="s">
        <v>355</v>
      </c>
      <c r="D1345" s="8" t="str">
        <f>"9783035624373"</f>
        <v>9783035624373</v>
      </c>
    </row>
    <row r="1346" spans="1:4" x14ac:dyDescent="0.25">
      <c r="A1346" s="7" t="s">
        <v>4181</v>
      </c>
      <c r="B1346" s="8" t="s">
        <v>4182</v>
      </c>
      <c r="C1346" s="8" t="s">
        <v>1865</v>
      </c>
      <c r="D1346" s="8" t="str">
        <f>"9789176852019"</f>
        <v>9789176852019</v>
      </c>
    </row>
    <row r="1347" spans="1:4" x14ac:dyDescent="0.25">
      <c r="A1347" s="7" t="s">
        <v>10617</v>
      </c>
      <c r="B1347" s="8" t="s">
        <v>10618</v>
      </c>
      <c r="C1347" s="8" t="s">
        <v>1865</v>
      </c>
      <c r="D1347" s="8" t="str">
        <f>"9789179292980"</f>
        <v>9789179292980</v>
      </c>
    </row>
    <row r="1348" spans="1:4" x14ac:dyDescent="0.25">
      <c r="A1348" s="7" t="s">
        <v>14768</v>
      </c>
      <c r="B1348" s="8" t="s">
        <v>14769</v>
      </c>
      <c r="C1348" s="8" t="s">
        <v>1865</v>
      </c>
      <c r="D1348" s="8" t="str">
        <f>"9789175193250"</f>
        <v>9789175193250</v>
      </c>
    </row>
    <row r="1349" spans="1:4" x14ac:dyDescent="0.25">
      <c r="A1349" s="7" t="s">
        <v>4224</v>
      </c>
      <c r="B1349" s="8" t="s">
        <v>4225</v>
      </c>
      <c r="C1349" s="8" t="s">
        <v>1865</v>
      </c>
      <c r="D1349" s="8" t="str">
        <f>"9789176851562"</f>
        <v>9789176851562</v>
      </c>
    </row>
    <row r="1350" spans="1:4" ht="30" x14ac:dyDescent="0.25">
      <c r="A1350" s="7" t="s">
        <v>15478</v>
      </c>
      <c r="B1350" s="8" t="s">
        <v>15479</v>
      </c>
      <c r="C1350" s="8" t="s">
        <v>1865</v>
      </c>
      <c r="D1350" s="8" t="str">
        <f>"9789180750219"</f>
        <v>9789180750219</v>
      </c>
    </row>
    <row r="1351" spans="1:4" x14ac:dyDescent="0.25">
      <c r="A1351" s="7" t="s">
        <v>7216</v>
      </c>
      <c r="B1351" s="8" t="s">
        <v>7217</v>
      </c>
      <c r="C1351" s="8" t="s">
        <v>355</v>
      </c>
      <c r="D1351" s="8" t="str">
        <f>"9783110640069"</f>
        <v>9783110640069</v>
      </c>
    </row>
    <row r="1352" spans="1:4" x14ac:dyDescent="0.25">
      <c r="A1352" s="7" t="s">
        <v>578</v>
      </c>
      <c r="B1352" s="8" t="s">
        <v>579</v>
      </c>
      <c r="C1352" s="8" t="s">
        <v>562</v>
      </c>
      <c r="D1352" s="8" t="str">
        <f>"9780822390398"</f>
        <v>9780822390398</v>
      </c>
    </row>
    <row r="1353" spans="1:4" x14ac:dyDescent="0.25">
      <c r="A1353" s="7" t="s">
        <v>10325</v>
      </c>
      <c r="B1353" s="8" t="s">
        <v>10326</v>
      </c>
      <c r="C1353" s="8" t="s">
        <v>993</v>
      </c>
      <c r="D1353" s="8" t="str">
        <f>"9783839448922"</f>
        <v>9783839448922</v>
      </c>
    </row>
    <row r="1354" spans="1:4" x14ac:dyDescent="0.25">
      <c r="A1354" s="7" t="s">
        <v>12069</v>
      </c>
      <c r="B1354" s="8" t="s">
        <v>12070</v>
      </c>
      <c r="C1354" s="8" t="s">
        <v>355</v>
      </c>
      <c r="D1354" s="8" t="str">
        <f>"9783110762877"</f>
        <v>9783110762877</v>
      </c>
    </row>
    <row r="1355" spans="1:4" x14ac:dyDescent="0.25">
      <c r="A1355" s="7" t="s">
        <v>3642</v>
      </c>
      <c r="B1355" s="8" t="s">
        <v>3643</v>
      </c>
      <c r="C1355" s="8" t="s">
        <v>1865</v>
      </c>
      <c r="D1355" s="8" t="str">
        <f>"9789176853382"</f>
        <v>9789176853382</v>
      </c>
    </row>
    <row r="1356" spans="1:4" x14ac:dyDescent="0.25">
      <c r="A1356" s="7" t="s">
        <v>11216</v>
      </c>
      <c r="B1356" s="8" t="s">
        <v>5009</v>
      </c>
      <c r="C1356" s="8" t="s">
        <v>355</v>
      </c>
      <c r="D1356" s="8" t="str">
        <f>"9783110671971"</f>
        <v>9783110671971</v>
      </c>
    </row>
    <row r="1357" spans="1:4" x14ac:dyDescent="0.25">
      <c r="A1357" s="7" t="s">
        <v>7038</v>
      </c>
      <c r="B1357" s="8" t="s">
        <v>5009</v>
      </c>
      <c r="C1357" s="8" t="s">
        <v>355</v>
      </c>
      <c r="D1357" s="8" t="str">
        <f>"9783110671773"</f>
        <v>9783110671773</v>
      </c>
    </row>
    <row r="1358" spans="1:4" x14ac:dyDescent="0.25">
      <c r="A1358" s="7" t="s">
        <v>11297</v>
      </c>
      <c r="B1358" s="8" t="s">
        <v>5009</v>
      </c>
      <c r="C1358" s="8" t="s">
        <v>355</v>
      </c>
      <c r="D1358" s="8" t="str">
        <f>"9783110671964"</f>
        <v>9783110671964</v>
      </c>
    </row>
    <row r="1359" spans="1:4" x14ac:dyDescent="0.25">
      <c r="A1359" s="7" t="s">
        <v>3141</v>
      </c>
      <c r="B1359" s="8" t="s">
        <v>3142</v>
      </c>
      <c r="C1359" s="8" t="s">
        <v>2168</v>
      </c>
      <c r="D1359" s="8" t="str">
        <f>"9780295806723"</f>
        <v>9780295806723</v>
      </c>
    </row>
    <row r="1360" spans="1:4" x14ac:dyDescent="0.25">
      <c r="A1360" s="7" t="s">
        <v>5032</v>
      </c>
      <c r="B1360" s="8" t="s">
        <v>5033</v>
      </c>
      <c r="C1360" s="8" t="s">
        <v>355</v>
      </c>
      <c r="D1360" s="8" t="str">
        <f>"9783110616804"</f>
        <v>9783110616804</v>
      </c>
    </row>
    <row r="1361" spans="1:4" x14ac:dyDescent="0.25">
      <c r="A1361" s="7" t="s">
        <v>7462</v>
      </c>
      <c r="B1361" s="8" t="s">
        <v>7463</v>
      </c>
      <c r="C1361" s="8" t="s">
        <v>993</v>
      </c>
      <c r="D1361" s="8" t="str">
        <f>"9783839440377"</f>
        <v>9783839440377</v>
      </c>
    </row>
    <row r="1362" spans="1:4" ht="30" x14ac:dyDescent="0.25">
      <c r="A1362" s="7" t="s">
        <v>6129</v>
      </c>
      <c r="B1362" s="8" t="s">
        <v>6130</v>
      </c>
      <c r="C1362" s="8" t="s">
        <v>2273</v>
      </c>
      <c r="D1362" s="8" t="str">
        <f>"9783030615703"</f>
        <v>9783030615703</v>
      </c>
    </row>
    <row r="1363" spans="1:4" x14ac:dyDescent="0.25">
      <c r="A1363" s="7" t="s">
        <v>15390</v>
      </c>
      <c r="B1363" s="8" t="s">
        <v>15391</v>
      </c>
      <c r="C1363" s="8" t="s">
        <v>1865</v>
      </c>
      <c r="D1363" s="8" t="str">
        <f>"9789175197401"</f>
        <v>9789175197401</v>
      </c>
    </row>
    <row r="1364" spans="1:4" x14ac:dyDescent="0.25">
      <c r="A1364" s="7" t="s">
        <v>15573</v>
      </c>
      <c r="B1364" s="8" t="s">
        <v>15574</v>
      </c>
      <c r="C1364" s="8" t="s">
        <v>1865</v>
      </c>
      <c r="D1364" s="8" t="str">
        <f>"9789175199368"</f>
        <v>9789175199368</v>
      </c>
    </row>
    <row r="1365" spans="1:4" x14ac:dyDescent="0.25">
      <c r="A1365" s="7" t="s">
        <v>705</v>
      </c>
      <c r="B1365" s="8" t="s">
        <v>706</v>
      </c>
      <c r="C1365" s="8" t="s">
        <v>316</v>
      </c>
      <c r="D1365" s="8" t="str">
        <f>"9783110325843"</f>
        <v>9783110325843</v>
      </c>
    </row>
    <row r="1366" spans="1:4" x14ac:dyDescent="0.25">
      <c r="A1366" s="7" t="s">
        <v>8049</v>
      </c>
      <c r="B1366" s="8" t="s">
        <v>8050</v>
      </c>
      <c r="C1366" s="8" t="s">
        <v>4245</v>
      </c>
      <c r="D1366" s="8" t="str">
        <f>"9789811653919"</f>
        <v>9789811653919</v>
      </c>
    </row>
    <row r="1367" spans="1:4" x14ac:dyDescent="0.25">
      <c r="A1367" s="7" t="s">
        <v>1981</v>
      </c>
      <c r="B1367" s="8" t="s">
        <v>1982</v>
      </c>
      <c r="C1367" s="8" t="s">
        <v>1962</v>
      </c>
      <c r="D1367" s="8" t="str">
        <f>"9782759207251"</f>
        <v>9782759207251</v>
      </c>
    </row>
    <row r="1368" spans="1:4" x14ac:dyDescent="0.25">
      <c r="A1368" s="7" t="s">
        <v>4626</v>
      </c>
      <c r="B1368" s="8" t="s">
        <v>4627</v>
      </c>
      <c r="C1368" s="8" t="s">
        <v>1879</v>
      </c>
      <c r="D1368" s="8" t="str">
        <f>"9781783747528"</f>
        <v>9781783747528</v>
      </c>
    </row>
    <row r="1369" spans="1:4" ht="30" x14ac:dyDescent="0.25">
      <c r="A1369" s="7" t="s">
        <v>3527</v>
      </c>
      <c r="B1369" s="8" t="s">
        <v>3528</v>
      </c>
      <c r="C1369" s="8" t="s">
        <v>1865</v>
      </c>
      <c r="D1369" s="8" t="str">
        <f>"9789176853795"</f>
        <v>9789176853795</v>
      </c>
    </row>
    <row r="1370" spans="1:4" x14ac:dyDescent="0.25">
      <c r="A1370" s="7" t="s">
        <v>15442</v>
      </c>
      <c r="B1370" s="8" t="s">
        <v>15443</v>
      </c>
      <c r="C1370" s="8" t="s">
        <v>1865</v>
      </c>
      <c r="D1370" s="8" t="str">
        <f>"9789175191010"</f>
        <v>9789175191010</v>
      </c>
    </row>
    <row r="1371" spans="1:4" x14ac:dyDescent="0.25">
      <c r="A1371" s="7" t="s">
        <v>486</v>
      </c>
      <c r="B1371" s="8" t="s">
        <v>487</v>
      </c>
      <c r="C1371" s="8" t="s">
        <v>316</v>
      </c>
      <c r="D1371" s="8" t="str">
        <f>"9783110266412"</f>
        <v>9783110266412</v>
      </c>
    </row>
    <row r="1372" spans="1:4" x14ac:dyDescent="0.25">
      <c r="A1372" s="7" t="s">
        <v>12661</v>
      </c>
      <c r="B1372" s="8" t="s">
        <v>12662</v>
      </c>
      <c r="C1372" s="8" t="s">
        <v>2273</v>
      </c>
      <c r="D1372" s="8" t="str">
        <f>"9783031106651"</f>
        <v>9783031106651</v>
      </c>
    </row>
    <row r="1373" spans="1:4" ht="30" x14ac:dyDescent="0.25">
      <c r="A1373" s="7" t="s">
        <v>14482</v>
      </c>
      <c r="B1373" s="8" t="s">
        <v>14483</v>
      </c>
      <c r="C1373" s="8" t="s">
        <v>1865</v>
      </c>
      <c r="D1373" s="8" t="str">
        <f>"9789179298494"</f>
        <v>9789179298494</v>
      </c>
    </row>
    <row r="1374" spans="1:4" x14ac:dyDescent="0.25">
      <c r="A1374" s="7" t="s">
        <v>5498</v>
      </c>
      <c r="B1374" s="8" t="s">
        <v>5499</v>
      </c>
      <c r="C1374" s="8" t="s">
        <v>1036</v>
      </c>
      <c r="D1374" s="8" t="str">
        <f>"9789027263865"</f>
        <v>9789027263865</v>
      </c>
    </row>
    <row r="1375" spans="1:4" x14ac:dyDescent="0.25">
      <c r="A1375" s="7" t="s">
        <v>3559</v>
      </c>
      <c r="B1375" s="8" t="s">
        <v>3560</v>
      </c>
      <c r="C1375" s="8" t="s">
        <v>1865</v>
      </c>
      <c r="D1375" s="8" t="str">
        <f>"9789176853603"</f>
        <v>9789176853603</v>
      </c>
    </row>
    <row r="1376" spans="1:4" x14ac:dyDescent="0.25">
      <c r="A1376" s="7" t="s">
        <v>8863</v>
      </c>
      <c r="B1376" s="8" t="s">
        <v>8864</v>
      </c>
      <c r="C1376" s="8" t="s">
        <v>1342</v>
      </c>
      <c r="D1376" s="8" t="str">
        <f>"9789633864166"</f>
        <v>9789633864166</v>
      </c>
    </row>
    <row r="1377" spans="1:4" x14ac:dyDescent="0.25">
      <c r="A1377" s="7" t="s">
        <v>5374</v>
      </c>
      <c r="B1377" s="8" t="s">
        <v>5375</v>
      </c>
      <c r="C1377" s="8" t="s">
        <v>1865</v>
      </c>
      <c r="D1377" s="8" t="str">
        <f>"9789179298067"</f>
        <v>9789179298067</v>
      </c>
    </row>
    <row r="1378" spans="1:4" x14ac:dyDescent="0.25">
      <c r="A1378" s="7" t="s">
        <v>15178</v>
      </c>
      <c r="B1378" s="8" t="s">
        <v>5375</v>
      </c>
      <c r="C1378" s="8" t="s">
        <v>1865</v>
      </c>
      <c r="D1378" s="8" t="str">
        <f>"9789176852903"</f>
        <v>9789176852903</v>
      </c>
    </row>
    <row r="1379" spans="1:4" x14ac:dyDescent="0.25">
      <c r="A1379" s="7" t="s">
        <v>14532</v>
      </c>
      <c r="B1379" s="8" t="s">
        <v>14533</v>
      </c>
      <c r="C1379" s="8" t="s">
        <v>1865</v>
      </c>
      <c r="D1379" s="8" t="str">
        <f>"9789179292744"</f>
        <v>9789179292744</v>
      </c>
    </row>
    <row r="1380" spans="1:4" x14ac:dyDescent="0.25">
      <c r="A1380" s="7" t="s">
        <v>13508</v>
      </c>
      <c r="B1380" s="8" t="s">
        <v>13437</v>
      </c>
      <c r="C1380" s="8" t="s">
        <v>2274</v>
      </c>
      <c r="D1380" s="8" t="str">
        <f>"9789811930690"</f>
        <v>9789811930690</v>
      </c>
    </row>
    <row r="1381" spans="1:4" x14ac:dyDescent="0.25">
      <c r="A1381" s="7" t="s">
        <v>11266</v>
      </c>
      <c r="B1381" s="8" t="s">
        <v>11267</v>
      </c>
      <c r="C1381" s="8" t="s">
        <v>355</v>
      </c>
      <c r="D1381" s="8" t="str">
        <f>"9783110720334"</f>
        <v>9783110720334</v>
      </c>
    </row>
    <row r="1382" spans="1:4" x14ac:dyDescent="0.25">
      <c r="A1382" s="7" t="s">
        <v>5799</v>
      </c>
      <c r="B1382" s="8" t="s">
        <v>5800</v>
      </c>
      <c r="C1382" s="8" t="s">
        <v>5228</v>
      </c>
      <c r="D1382" s="8" t="str">
        <f>"9781137487537"</f>
        <v>9781137487537</v>
      </c>
    </row>
    <row r="1383" spans="1:4" x14ac:dyDescent="0.25">
      <c r="A1383" s="7" t="s">
        <v>2951</v>
      </c>
      <c r="B1383" s="8" t="s">
        <v>2952</v>
      </c>
      <c r="C1383" s="8" t="s">
        <v>993</v>
      </c>
      <c r="D1383" s="8" t="str">
        <f>"9783839429754"</f>
        <v>9783839429754</v>
      </c>
    </row>
    <row r="1384" spans="1:4" x14ac:dyDescent="0.25">
      <c r="A1384" s="7" t="s">
        <v>555</v>
      </c>
      <c r="B1384" s="8" t="s">
        <v>556</v>
      </c>
      <c r="C1384" s="8" t="s">
        <v>355</v>
      </c>
      <c r="D1384" s="8" t="str">
        <f>"9788376560014"</f>
        <v>9788376560014</v>
      </c>
    </row>
    <row r="1385" spans="1:4" x14ac:dyDescent="0.25">
      <c r="A1385" s="7" t="s">
        <v>3112</v>
      </c>
      <c r="B1385" s="8" t="s">
        <v>3113</v>
      </c>
      <c r="C1385" s="8" t="s">
        <v>1962</v>
      </c>
      <c r="D1385" s="8" t="str">
        <f>"9782759226191"</f>
        <v>9782759226191</v>
      </c>
    </row>
    <row r="1386" spans="1:4" x14ac:dyDescent="0.25">
      <c r="A1386" s="7" t="s">
        <v>12574</v>
      </c>
      <c r="B1386" s="8" t="s">
        <v>12575</v>
      </c>
      <c r="C1386" s="8" t="s">
        <v>5086</v>
      </c>
      <c r="D1386" s="8" t="str">
        <f>"9783658382063"</f>
        <v>9783658382063</v>
      </c>
    </row>
    <row r="1387" spans="1:4" x14ac:dyDescent="0.25">
      <c r="A1387" s="7" t="s">
        <v>13953</v>
      </c>
      <c r="B1387" s="8" t="s">
        <v>13954</v>
      </c>
      <c r="C1387" s="8" t="s">
        <v>2273</v>
      </c>
      <c r="D1387" s="8" t="str">
        <f>"9783031110696"</f>
        <v>9783031110696</v>
      </c>
    </row>
    <row r="1388" spans="1:4" x14ac:dyDescent="0.25">
      <c r="A1388" s="7" t="s">
        <v>9198</v>
      </c>
      <c r="B1388" s="8" t="s">
        <v>9199</v>
      </c>
      <c r="C1388" s="8" t="s">
        <v>4882</v>
      </c>
      <c r="D1388" s="8" t="str">
        <f>"9781781386361"</f>
        <v>9781781386361</v>
      </c>
    </row>
    <row r="1389" spans="1:4" x14ac:dyDescent="0.25">
      <c r="A1389" s="7" t="s">
        <v>5289</v>
      </c>
      <c r="B1389" s="8" t="s">
        <v>5290</v>
      </c>
      <c r="C1389" s="8" t="s">
        <v>2273</v>
      </c>
      <c r="D1389" s="8" t="str">
        <f>"9783319184289"</f>
        <v>9783319184289</v>
      </c>
    </row>
    <row r="1390" spans="1:4" x14ac:dyDescent="0.25">
      <c r="A1390" s="7" t="s">
        <v>622</v>
      </c>
      <c r="B1390" s="8" t="s">
        <v>623</v>
      </c>
      <c r="C1390" s="8" t="s">
        <v>562</v>
      </c>
      <c r="D1390" s="8" t="str">
        <f>"9780822394884"</f>
        <v>9780822394884</v>
      </c>
    </row>
    <row r="1391" spans="1:4" x14ac:dyDescent="0.25">
      <c r="A1391" s="7" t="s">
        <v>4569</v>
      </c>
      <c r="B1391" s="8" t="s">
        <v>4570</v>
      </c>
      <c r="C1391" s="8" t="s">
        <v>355</v>
      </c>
      <c r="D1391" s="8" t="str">
        <f>"9783110571219"</f>
        <v>9783110571219</v>
      </c>
    </row>
    <row r="1392" spans="1:4" x14ac:dyDescent="0.25">
      <c r="A1392" s="7" t="s">
        <v>6311</v>
      </c>
      <c r="B1392" s="8" t="s">
        <v>6312</v>
      </c>
      <c r="C1392" s="8" t="s">
        <v>2273</v>
      </c>
      <c r="D1392" s="8" t="str">
        <f>"9783030482992"</f>
        <v>9783030482992</v>
      </c>
    </row>
    <row r="1393" spans="1:4" x14ac:dyDescent="0.25">
      <c r="A1393" s="7" t="s">
        <v>10615</v>
      </c>
      <c r="B1393" s="8" t="s">
        <v>10616</v>
      </c>
      <c r="C1393" s="8" t="s">
        <v>2273</v>
      </c>
      <c r="D1393" s="8" t="str">
        <f>"9783030974053"</f>
        <v>9783030974053</v>
      </c>
    </row>
    <row r="1394" spans="1:4" x14ac:dyDescent="0.25">
      <c r="A1394" s="7" t="s">
        <v>9194</v>
      </c>
      <c r="B1394" s="8" t="s">
        <v>9195</v>
      </c>
      <c r="C1394" s="8" t="s">
        <v>4882</v>
      </c>
      <c r="D1394" s="8" t="str">
        <f>"9781781384695"</f>
        <v>9781781384695</v>
      </c>
    </row>
    <row r="1395" spans="1:4" x14ac:dyDescent="0.25">
      <c r="A1395" s="7" t="s">
        <v>5908</v>
      </c>
      <c r="B1395" s="8" t="s">
        <v>5909</v>
      </c>
      <c r="C1395" s="8" t="s">
        <v>4245</v>
      </c>
      <c r="D1395" s="8" t="str">
        <f>"9789811061295"</f>
        <v>9789811061295</v>
      </c>
    </row>
    <row r="1396" spans="1:4" ht="30" x14ac:dyDescent="0.25">
      <c r="A1396" s="7" t="s">
        <v>6165</v>
      </c>
      <c r="B1396" s="8" t="s">
        <v>6166</v>
      </c>
      <c r="C1396" s="8" t="s">
        <v>5086</v>
      </c>
      <c r="D1396" s="8" t="str">
        <f>"9783658049164"</f>
        <v>9783658049164</v>
      </c>
    </row>
    <row r="1397" spans="1:4" x14ac:dyDescent="0.25">
      <c r="A1397" s="7" t="s">
        <v>3273</v>
      </c>
      <c r="B1397" s="8" t="s">
        <v>3274</v>
      </c>
      <c r="C1397" s="8" t="s">
        <v>1865</v>
      </c>
      <c r="D1397" s="8" t="str">
        <f>"9789176854549"</f>
        <v>9789176854549</v>
      </c>
    </row>
    <row r="1398" spans="1:4" x14ac:dyDescent="0.25">
      <c r="A1398" s="7" t="s">
        <v>5989</v>
      </c>
      <c r="B1398" s="8" t="s">
        <v>5990</v>
      </c>
      <c r="C1398" s="8" t="s">
        <v>2273</v>
      </c>
      <c r="D1398" s="8" t="str">
        <f>"9783319446103"</f>
        <v>9783319446103</v>
      </c>
    </row>
    <row r="1399" spans="1:4" ht="30" x14ac:dyDescent="0.25">
      <c r="A1399" s="7" t="s">
        <v>8185</v>
      </c>
      <c r="B1399" s="8" t="s">
        <v>8186</v>
      </c>
      <c r="C1399" s="8" t="s">
        <v>993</v>
      </c>
      <c r="D1399" s="8" t="str">
        <f>"9783839454374"</f>
        <v>9783839454374</v>
      </c>
    </row>
    <row r="1400" spans="1:4" ht="30" x14ac:dyDescent="0.25">
      <c r="A1400" s="7" t="s">
        <v>14347</v>
      </c>
      <c r="B1400" s="8" t="s">
        <v>14348</v>
      </c>
      <c r="C1400" s="8" t="s">
        <v>9602</v>
      </c>
      <c r="D1400" s="8" t="str">
        <f>"9781800105621"</f>
        <v>9781800105621</v>
      </c>
    </row>
    <row r="1401" spans="1:4" x14ac:dyDescent="0.25">
      <c r="A1401" s="7" t="s">
        <v>12025</v>
      </c>
      <c r="B1401" s="8" t="s">
        <v>12026</v>
      </c>
      <c r="C1401" s="8" t="s">
        <v>355</v>
      </c>
      <c r="D1401" s="8" t="str">
        <f>"9783110730104"</f>
        <v>9783110730104</v>
      </c>
    </row>
    <row r="1402" spans="1:4" x14ac:dyDescent="0.25">
      <c r="A1402" s="7" t="s">
        <v>4034</v>
      </c>
      <c r="B1402" s="8" t="s">
        <v>4035</v>
      </c>
      <c r="C1402" s="8" t="s">
        <v>355</v>
      </c>
      <c r="D1402" s="8" t="str">
        <f>"9783110502060"</f>
        <v>9783110502060</v>
      </c>
    </row>
    <row r="1403" spans="1:4" x14ac:dyDescent="0.25">
      <c r="A1403" s="7" t="s">
        <v>15267</v>
      </c>
      <c r="B1403" s="8" t="s">
        <v>15268</v>
      </c>
      <c r="C1403" s="8" t="s">
        <v>1865</v>
      </c>
      <c r="D1403" s="8" t="str">
        <f>"9789176859513"</f>
        <v>9789176859513</v>
      </c>
    </row>
    <row r="1404" spans="1:4" x14ac:dyDescent="0.25">
      <c r="A1404" s="7" t="s">
        <v>8738</v>
      </c>
      <c r="B1404" s="8" t="s">
        <v>8739</v>
      </c>
      <c r="C1404" s="8" t="s">
        <v>2273</v>
      </c>
      <c r="D1404" s="8" t="str">
        <f>"9783030845704"</f>
        <v>9783030845704</v>
      </c>
    </row>
    <row r="1405" spans="1:4" x14ac:dyDescent="0.25">
      <c r="A1405" s="7" t="s">
        <v>12550</v>
      </c>
      <c r="B1405" s="8" t="s">
        <v>12551</v>
      </c>
      <c r="C1405" s="8" t="s">
        <v>2082</v>
      </c>
      <c r="D1405" s="8" t="str">
        <f>"9780472903115"</f>
        <v>9780472903115</v>
      </c>
    </row>
    <row r="1406" spans="1:4" ht="45" x14ac:dyDescent="0.25">
      <c r="A1406" s="7" t="s">
        <v>12124</v>
      </c>
      <c r="B1406" s="8" t="s">
        <v>12125</v>
      </c>
      <c r="C1406" s="8" t="s">
        <v>316</v>
      </c>
      <c r="D1406" s="8" t="str">
        <f>"9783598440168"</f>
        <v>9783598440168</v>
      </c>
    </row>
    <row r="1407" spans="1:4" ht="30" x14ac:dyDescent="0.25">
      <c r="A1407" s="7" t="s">
        <v>15303</v>
      </c>
      <c r="B1407" s="8" t="s">
        <v>15304</v>
      </c>
      <c r="C1407" s="8" t="s">
        <v>1865</v>
      </c>
      <c r="D1407" s="8" t="str">
        <f>"9789180750486"</f>
        <v>9789180750486</v>
      </c>
    </row>
    <row r="1408" spans="1:4" x14ac:dyDescent="0.25">
      <c r="A1408" s="7" t="s">
        <v>3808</v>
      </c>
      <c r="B1408" s="8" t="s">
        <v>3809</v>
      </c>
      <c r="C1408" s="8" t="s">
        <v>1865</v>
      </c>
      <c r="D1408" s="8" t="str">
        <f>"9789176852446"</f>
        <v>9789176852446</v>
      </c>
    </row>
    <row r="1409" spans="1:4" x14ac:dyDescent="0.25">
      <c r="A1409" s="7" t="s">
        <v>14141</v>
      </c>
      <c r="B1409" s="8" t="s">
        <v>9069</v>
      </c>
      <c r="C1409" s="8" t="s">
        <v>2273</v>
      </c>
      <c r="D1409" s="8" t="str">
        <f>"9783031209284"</f>
        <v>9783031209284</v>
      </c>
    </row>
    <row r="1410" spans="1:4" x14ac:dyDescent="0.25">
      <c r="A1410" s="7" t="s">
        <v>4459</v>
      </c>
      <c r="B1410" s="8" t="s">
        <v>4460</v>
      </c>
      <c r="C1410" s="8" t="s">
        <v>1865</v>
      </c>
      <c r="D1410" s="8" t="str">
        <f>"9789176850961"</f>
        <v>9789176850961</v>
      </c>
    </row>
    <row r="1411" spans="1:4" x14ac:dyDescent="0.25">
      <c r="A1411" s="7" t="s">
        <v>4226</v>
      </c>
      <c r="B1411" s="8" t="s">
        <v>4227</v>
      </c>
      <c r="C1411" s="8" t="s">
        <v>1865</v>
      </c>
      <c r="D1411" s="8" t="str">
        <f>"9789176852644"</f>
        <v>9789176852644</v>
      </c>
    </row>
    <row r="1412" spans="1:4" x14ac:dyDescent="0.25">
      <c r="A1412" s="7" t="s">
        <v>9074</v>
      </c>
      <c r="B1412" s="8" t="s">
        <v>9075</v>
      </c>
      <c r="C1412" s="8" t="s">
        <v>2273</v>
      </c>
      <c r="D1412" s="8" t="str">
        <f>"9783030897925"</f>
        <v>9783030897925</v>
      </c>
    </row>
    <row r="1413" spans="1:4" ht="30" x14ac:dyDescent="0.25">
      <c r="A1413" s="7" t="s">
        <v>1776</v>
      </c>
      <c r="B1413" s="8" t="s">
        <v>1777</v>
      </c>
      <c r="C1413" s="8" t="s">
        <v>1345</v>
      </c>
      <c r="D1413" s="8" t="str">
        <f>"9783862197712"</f>
        <v>9783862197712</v>
      </c>
    </row>
    <row r="1414" spans="1:4" x14ac:dyDescent="0.25">
      <c r="A1414" s="7" t="s">
        <v>2492</v>
      </c>
      <c r="B1414" s="8" t="s">
        <v>2493</v>
      </c>
      <c r="C1414" s="8" t="s">
        <v>1865</v>
      </c>
      <c r="D1414" s="8" t="str">
        <f>"9789176858998"</f>
        <v>9789176858998</v>
      </c>
    </row>
    <row r="1415" spans="1:4" ht="30" x14ac:dyDescent="0.25">
      <c r="A1415" s="7" t="s">
        <v>12628</v>
      </c>
      <c r="B1415" s="8" t="s">
        <v>12629</v>
      </c>
      <c r="C1415" s="8" t="s">
        <v>1865</v>
      </c>
      <c r="D1415" s="8" t="str">
        <f>"9789179294229"</f>
        <v>9789179294229</v>
      </c>
    </row>
    <row r="1416" spans="1:4" x14ac:dyDescent="0.25">
      <c r="A1416" s="7" t="s">
        <v>4964</v>
      </c>
      <c r="B1416" s="8" t="s">
        <v>4965</v>
      </c>
      <c r="C1416" s="8" t="s">
        <v>1865</v>
      </c>
      <c r="D1416" s="8" t="str">
        <f>"9789179298562"</f>
        <v>9789179298562</v>
      </c>
    </row>
    <row r="1417" spans="1:4" x14ac:dyDescent="0.25">
      <c r="A1417" s="7" t="s">
        <v>5138</v>
      </c>
      <c r="B1417" s="8" t="s">
        <v>5139</v>
      </c>
      <c r="C1417" s="8" t="s">
        <v>1865</v>
      </c>
      <c r="D1417" s="8" t="str">
        <f>"9789179298227"</f>
        <v>9789179298227</v>
      </c>
    </row>
    <row r="1418" spans="1:4" x14ac:dyDescent="0.25">
      <c r="A1418" s="7" t="s">
        <v>3165</v>
      </c>
      <c r="B1418" s="8" t="s">
        <v>3166</v>
      </c>
      <c r="C1418" s="8" t="s">
        <v>1865</v>
      </c>
      <c r="D1418" s="8" t="str">
        <f>"9789176855164"</f>
        <v>9789176855164</v>
      </c>
    </row>
    <row r="1419" spans="1:4" x14ac:dyDescent="0.25">
      <c r="A1419" s="7" t="s">
        <v>15271</v>
      </c>
      <c r="B1419" s="8" t="s">
        <v>15272</v>
      </c>
      <c r="C1419" s="8" t="s">
        <v>1865</v>
      </c>
      <c r="D1419" s="8" t="str">
        <f>"9789175196817"</f>
        <v>9789175196817</v>
      </c>
    </row>
    <row r="1420" spans="1:4" x14ac:dyDescent="0.25">
      <c r="A1420" s="7" t="s">
        <v>15629</v>
      </c>
      <c r="B1420" s="8" t="s">
        <v>14975</v>
      </c>
      <c r="C1420" s="8" t="s">
        <v>1865</v>
      </c>
      <c r="D1420" s="8" t="str">
        <f>"9789175193731"</f>
        <v>9789175193731</v>
      </c>
    </row>
    <row r="1421" spans="1:4" ht="30" x14ac:dyDescent="0.25">
      <c r="A1421" s="7" t="s">
        <v>15010</v>
      </c>
      <c r="B1421" s="8" t="s">
        <v>15011</v>
      </c>
      <c r="C1421" s="8" t="s">
        <v>1865</v>
      </c>
      <c r="D1421" s="8" t="str">
        <f>"9789175199757"</f>
        <v>9789175199757</v>
      </c>
    </row>
    <row r="1422" spans="1:4" ht="30" x14ac:dyDescent="0.25">
      <c r="A1422" s="7" t="s">
        <v>15306</v>
      </c>
      <c r="B1422" s="8" t="s">
        <v>4584</v>
      </c>
      <c r="C1422" s="8" t="s">
        <v>1865</v>
      </c>
      <c r="D1422" s="8" t="str">
        <f>"9789176854839"</f>
        <v>9789176854839</v>
      </c>
    </row>
    <row r="1423" spans="1:4" x14ac:dyDescent="0.25">
      <c r="A1423" s="7" t="s">
        <v>4583</v>
      </c>
      <c r="B1423" s="8" t="s">
        <v>4584</v>
      </c>
      <c r="C1423" s="8" t="s">
        <v>1865</v>
      </c>
      <c r="D1423" s="8" t="str">
        <f>"9789176850510"</f>
        <v>9789176850510</v>
      </c>
    </row>
    <row r="1424" spans="1:4" ht="30" x14ac:dyDescent="0.25">
      <c r="A1424" s="7" t="s">
        <v>10621</v>
      </c>
      <c r="B1424" s="8" t="s">
        <v>10622</v>
      </c>
      <c r="C1424" s="8" t="s">
        <v>2273</v>
      </c>
      <c r="D1424" s="8" t="str">
        <f>"9783030930158"</f>
        <v>9783030930158</v>
      </c>
    </row>
    <row r="1425" spans="1:4" x14ac:dyDescent="0.25">
      <c r="A1425" s="7" t="s">
        <v>14484</v>
      </c>
      <c r="B1425" s="8" t="s">
        <v>14485</v>
      </c>
      <c r="C1425" s="8" t="s">
        <v>1865</v>
      </c>
      <c r="D1425" s="8" t="str">
        <f>"9789179297404"</f>
        <v>9789179297404</v>
      </c>
    </row>
    <row r="1426" spans="1:4" x14ac:dyDescent="0.25">
      <c r="A1426" s="7" t="s">
        <v>4952</v>
      </c>
      <c r="B1426" s="8" t="s">
        <v>4953</v>
      </c>
      <c r="C1426" s="8" t="s">
        <v>1865</v>
      </c>
      <c r="D1426" s="8" t="str">
        <f>"9789179298470"</f>
        <v>9789179298470</v>
      </c>
    </row>
    <row r="1427" spans="1:4" x14ac:dyDescent="0.25">
      <c r="A1427" s="7" t="s">
        <v>15944</v>
      </c>
      <c r="B1427" s="8" t="s">
        <v>15945</v>
      </c>
      <c r="C1427" s="8" t="s">
        <v>1865</v>
      </c>
      <c r="D1427" s="8" t="str">
        <f>"9789175198422"</f>
        <v>9789175198422</v>
      </c>
    </row>
    <row r="1428" spans="1:4" x14ac:dyDescent="0.25">
      <c r="A1428" s="7" t="s">
        <v>1811</v>
      </c>
      <c r="B1428" s="8" t="s">
        <v>1812</v>
      </c>
      <c r="C1428" s="8" t="s">
        <v>1345</v>
      </c>
      <c r="D1428" s="8" t="str">
        <f>"9783862197095"</f>
        <v>9783862197095</v>
      </c>
    </row>
    <row r="1429" spans="1:4" x14ac:dyDescent="0.25">
      <c r="A1429" s="7" t="s">
        <v>3466</v>
      </c>
      <c r="B1429" s="8" t="s">
        <v>3467</v>
      </c>
      <c r="C1429" s="8" t="s">
        <v>1865</v>
      </c>
      <c r="D1429" s="8" t="str">
        <f>"9789176854662"</f>
        <v>9789176854662</v>
      </c>
    </row>
    <row r="1430" spans="1:4" ht="30" x14ac:dyDescent="0.25">
      <c r="A1430" s="7" t="s">
        <v>10924</v>
      </c>
      <c r="B1430" s="8" t="s">
        <v>10925</v>
      </c>
      <c r="C1430" s="8" t="s">
        <v>355</v>
      </c>
      <c r="D1430" s="8" t="str">
        <f>"9783110530797"</f>
        <v>9783110530797</v>
      </c>
    </row>
    <row r="1431" spans="1:4" x14ac:dyDescent="0.25">
      <c r="A1431" s="7" t="s">
        <v>12266</v>
      </c>
      <c r="B1431" s="8" t="s">
        <v>153</v>
      </c>
      <c r="C1431" s="8" t="s">
        <v>993</v>
      </c>
      <c r="D1431" s="8" t="str">
        <f>"9783839456644"</f>
        <v>9783839456644</v>
      </c>
    </row>
    <row r="1432" spans="1:4" x14ac:dyDescent="0.25">
      <c r="A1432" s="7" t="s">
        <v>3596</v>
      </c>
      <c r="B1432" s="8" t="s">
        <v>3597</v>
      </c>
      <c r="C1432" s="8" t="s">
        <v>562</v>
      </c>
      <c r="D1432" s="8" t="str">
        <f>"9780822371823"</f>
        <v>9780822371823</v>
      </c>
    </row>
    <row r="1433" spans="1:4" ht="30" x14ac:dyDescent="0.25">
      <c r="A1433" s="7" t="s">
        <v>2551</v>
      </c>
      <c r="B1433" s="8" t="s">
        <v>2552</v>
      </c>
      <c r="C1433" s="8" t="s">
        <v>355</v>
      </c>
      <c r="D1433" s="8" t="str">
        <f>"9783110444285"</f>
        <v>9783110444285</v>
      </c>
    </row>
    <row r="1434" spans="1:4" x14ac:dyDescent="0.25">
      <c r="A1434" s="7" t="s">
        <v>4725</v>
      </c>
      <c r="B1434" s="8" t="s">
        <v>4726</v>
      </c>
      <c r="C1434" s="8" t="s">
        <v>1865</v>
      </c>
      <c r="D1434" s="8" t="str">
        <f>"9789175190044"</f>
        <v>9789175190044</v>
      </c>
    </row>
    <row r="1435" spans="1:4" x14ac:dyDescent="0.25">
      <c r="A1435" s="7" t="s">
        <v>1993</v>
      </c>
      <c r="B1435" s="8" t="s">
        <v>1994</v>
      </c>
      <c r="C1435" s="8" t="s">
        <v>1962</v>
      </c>
      <c r="D1435" s="8" t="str">
        <f>"9782759207572"</f>
        <v>9782759207572</v>
      </c>
    </row>
    <row r="1436" spans="1:4" x14ac:dyDescent="0.25">
      <c r="A1436" s="7" t="s">
        <v>15897</v>
      </c>
      <c r="B1436" s="8" t="s">
        <v>4239</v>
      </c>
      <c r="C1436" s="8" t="s">
        <v>1865</v>
      </c>
      <c r="D1436" s="8" t="str">
        <f>"9789176859698"</f>
        <v>9789176859698</v>
      </c>
    </row>
    <row r="1437" spans="1:4" ht="30" x14ac:dyDescent="0.25">
      <c r="A1437" s="7" t="s">
        <v>14894</v>
      </c>
      <c r="B1437" s="8" t="s">
        <v>14895</v>
      </c>
      <c r="C1437" s="8" t="s">
        <v>1865</v>
      </c>
      <c r="D1437" s="8" t="str">
        <f>"9789175192925"</f>
        <v>9789175192925</v>
      </c>
    </row>
    <row r="1438" spans="1:4" x14ac:dyDescent="0.25">
      <c r="A1438" s="7" t="s">
        <v>16323</v>
      </c>
      <c r="B1438" s="8" t="s">
        <v>6942</v>
      </c>
      <c r="C1438" s="8" t="s">
        <v>1865</v>
      </c>
      <c r="D1438" s="8" t="str">
        <f>"9789179299354"</f>
        <v>9789179299354</v>
      </c>
    </row>
    <row r="1439" spans="1:4" x14ac:dyDescent="0.25">
      <c r="A1439" s="7" t="s">
        <v>6941</v>
      </c>
      <c r="B1439" s="8" t="s">
        <v>6942</v>
      </c>
      <c r="C1439" s="8" t="s">
        <v>1865</v>
      </c>
      <c r="D1439" s="8" t="str">
        <f>"9789179296742"</f>
        <v>9789179296742</v>
      </c>
    </row>
    <row r="1440" spans="1:4" x14ac:dyDescent="0.25">
      <c r="A1440" s="7" t="s">
        <v>860</v>
      </c>
      <c r="B1440" s="8" t="s">
        <v>861</v>
      </c>
      <c r="C1440" s="8" t="s">
        <v>355</v>
      </c>
      <c r="D1440" s="8" t="str">
        <f>"9783110370317"</f>
        <v>9783110370317</v>
      </c>
    </row>
    <row r="1441" spans="1:4" x14ac:dyDescent="0.25">
      <c r="A1441" s="7" t="s">
        <v>8353</v>
      </c>
      <c r="B1441" s="8" t="s">
        <v>8354</v>
      </c>
      <c r="C1441" s="8" t="s">
        <v>993</v>
      </c>
      <c r="D1441" s="8" t="str">
        <f>"9783839455036"</f>
        <v>9783839455036</v>
      </c>
    </row>
    <row r="1442" spans="1:4" x14ac:dyDescent="0.25">
      <c r="A1442" s="7" t="s">
        <v>8869</v>
      </c>
      <c r="B1442" s="8" t="s">
        <v>8870</v>
      </c>
      <c r="C1442" s="8" t="s">
        <v>1879</v>
      </c>
      <c r="D1442" s="8" t="str">
        <f>"9781800642805"</f>
        <v>9781800642805</v>
      </c>
    </row>
    <row r="1443" spans="1:4" x14ac:dyDescent="0.25">
      <c r="A1443" s="7" t="s">
        <v>15751</v>
      </c>
      <c r="B1443" s="8" t="s">
        <v>15752</v>
      </c>
      <c r="C1443" s="8" t="s">
        <v>1865</v>
      </c>
      <c r="D1443" s="8" t="str">
        <f>"9789175196404"</f>
        <v>9789175196404</v>
      </c>
    </row>
    <row r="1444" spans="1:4" ht="30" x14ac:dyDescent="0.25">
      <c r="A1444" s="7" t="s">
        <v>12237</v>
      </c>
      <c r="B1444" s="8" t="s">
        <v>12230</v>
      </c>
      <c r="C1444" s="8" t="s">
        <v>355</v>
      </c>
      <c r="D1444" s="8" t="str">
        <f>"9783035624243"</f>
        <v>9783035624243</v>
      </c>
    </row>
    <row r="1445" spans="1:4" x14ac:dyDescent="0.25">
      <c r="A1445" s="7" t="s">
        <v>895</v>
      </c>
      <c r="B1445" s="8" t="s">
        <v>896</v>
      </c>
      <c r="C1445" s="8" t="s">
        <v>355</v>
      </c>
      <c r="D1445" s="8" t="str">
        <f>"9783110401707"</f>
        <v>9783110401707</v>
      </c>
    </row>
    <row r="1446" spans="1:4" x14ac:dyDescent="0.25">
      <c r="A1446" s="7" t="s">
        <v>15467</v>
      </c>
      <c r="B1446" s="8" t="s">
        <v>15468</v>
      </c>
      <c r="C1446" s="8" t="s">
        <v>1865</v>
      </c>
      <c r="D1446" s="8" t="str">
        <f>"9789175191119"</f>
        <v>9789175191119</v>
      </c>
    </row>
    <row r="1447" spans="1:4" x14ac:dyDescent="0.25">
      <c r="A1447" s="7" t="s">
        <v>2381</v>
      </c>
      <c r="B1447" s="8" t="s">
        <v>2382</v>
      </c>
      <c r="C1447" s="8" t="s">
        <v>1879</v>
      </c>
      <c r="D1447" s="8" t="str">
        <f>"9781783741342"</f>
        <v>9781783741342</v>
      </c>
    </row>
    <row r="1448" spans="1:4" ht="30" x14ac:dyDescent="0.25">
      <c r="A1448" s="7" t="s">
        <v>15463</v>
      </c>
      <c r="B1448" s="8" t="s">
        <v>15464</v>
      </c>
      <c r="C1448" s="8" t="s">
        <v>1865</v>
      </c>
      <c r="D1448" s="8" t="str">
        <f>"9789176852545"</f>
        <v>9789176852545</v>
      </c>
    </row>
    <row r="1449" spans="1:4" x14ac:dyDescent="0.25">
      <c r="A1449" s="7" t="s">
        <v>5928</v>
      </c>
      <c r="B1449" s="8" t="s">
        <v>5929</v>
      </c>
      <c r="C1449" s="8" t="s">
        <v>5134</v>
      </c>
      <c r="D1449" s="8" t="str">
        <f>"9783662468067"</f>
        <v>9783662468067</v>
      </c>
    </row>
    <row r="1450" spans="1:4" ht="30" x14ac:dyDescent="0.25">
      <c r="A1450" s="7" t="s">
        <v>12640</v>
      </c>
      <c r="B1450" s="8" t="s">
        <v>12641</v>
      </c>
      <c r="C1450" s="8" t="s">
        <v>5086</v>
      </c>
      <c r="D1450" s="8" t="str">
        <f>"9783658368180"</f>
        <v>9783658368180</v>
      </c>
    </row>
    <row r="1451" spans="1:4" ht="30" x14ac:dyDescent="0.25">
      <c r="A1451" s="7" t="s">
        <v>13596</v>
      </c>
      <c r="B1451" s="8" t="s">
        <v>13597</v>
      </c>
      <c r="C1451" s="8" t="s">
        <v>2273</v>
      </c>
      <c r="D1451" s="8" t="str">
        <f>"9783031132643"</f>
        <v>9783031132643</v>
      </c>
    </row>
    <row r="1452" spans="1:4" x14ac:dyDescent="0.25">
      <c r="A1452" s="7" t="s">
        <v>322</v>
      </c>
      <c r="B1452" s="8" t="s">
        <v>323</v>
      </c>
      <c r="C1452" s="8" t="s">
        <v>316</v>
      </c>
      <c r="D1452" s="8" t="str">
        <f>"9783598440113"</f>
        <v>9783598440113</v>
      </c>
    </row>
    <row r="1453" spans="1:4" x14ac:dyDescent="0.25">
      <c r="A1453" s="7" t="s">
        <v>2124</v>
      </c>
      <c r="B1453" s="8" t="s">
        <v>2125</v>
      </c>
      <c r="C1453" s="8" t="s">
        <v>1345</v>
      </c>
      <c r="D1453" s="8" t="str">
        <f>"9783862199839"</f>
        <v>9783862199839</v>
      </c>
    </row>
    <row r="1454" spans="1:4" x14ac:dyDescent="0.25">
      <c r="A1454" s="7" t="s">
        <v>1848</v>
      </c>
      <c r="B1454" s="8" t="s">
        <v>1849</v>
      </c>
      <c r="C1454" s="8" t="s">
        <v>1345</v>
      </c>
      <c r="D1454" s="8" t="str">
        <f>"9783862198153"</f>
        <v>9783862198153</v>
      </c>
    </row>
    <row r="1455" spans="1:4" ht="30" x14ac:dyDescent="0.25">
      <c r="A1455" s="7" t="s">
        <v>15847</v>
      </c>
      <c r="B1455" s="8" t="s">
        <v>15848</v>
      </c>
      <c r="C1455" s="8" t="s">
        <v>1865</v>
      </c>
      <c r="D1455" s="8" t="str">
        <f>"9789180750073"</f>
        <v>9789180750073</v>
      </c>
    </row>
    <row r="1456" spans="1:4" x14ac:dyDescent="0.25">
      <c r="A1456" s="7" t="s">
        <v>600</v>
      </c>
      <c r="B1456" s="8" t="s">
        <v>601</v>
      </c>
      <c r="C1456" s="8" t="s">
        <v>562</v>
      </c>
      <c r="D1456" s="8" t="str">
        <f>"9780822392422"</f>
        <v>9780822392422</v>
      </c>
    </row>
    <row r="1457" spans="1:4" x14ac:dyDescent="0.25">
      <c r="A1457" s="7" t="s">
        <v>5026</v>
      </c>
      <c r="B1457" s="8" t="s">
        <v>5027</v>
      </c>
      <c r="C1457" s="8" t="s">
        <v>355</v>
      </c>
      <c r="D1457" s="8" t="str">
        <f>"9783110612271"</f>
        <v>9783110612271</v>
      </c>
    </row>
    <row r="1458" spans="1:4" x14ac:dyDescent="0.25">
      <c r="A1458" s="7" t="s">
        <v>4238</v>
      </c>
      <c r="B1458" s="8" t="s">
        <v>4239</v>
      </c>
      <c r="C1458" s="8" t="s">
        <v>1865</v>
      </c>
      <c r="D1458" s="8" t="str">
        <f>"9789176853504"</f>
        <v>9789176853504</v>
      </c>
    </row>
    <row r="1459" spans="1:4" x14ac:dyDescent="0.25">
      <c r="A1459" s="7" t="s">
        <v>2088</v>
      </c>
      <c r="B1459" s="8" t="s">
        <v>2089</v>
      </c>
      <c r="C1459" s="8" t="s">
        <v>1332</v>
      </c>
      <c r="D1459" s="8" t="str">
        <f>"9781780407227"</f>
        <v>9781780407227</v>
      </c>
    </row>
    <row r="1460" spans="1:4" ht="30" x14ac:dyDescent="0.25">
      <c r="A1460" s="7" t="s">
        <v>15471</v>
      </c>
      <c r="B1460" s="8" t="s">
        <v>15472</v>
      </c>
      <c r="C1460" s="8" t="s">
        <v>1865</v>
      </c>
      <c r="D1460" s="8" t="str">
        <f>"9789176852118"</f>
        <v>9789176852118</v>
      </c>
    </row>
    <row r="1461" spans="1:4" ht="30" x14ac:dyDescent="0.25">
      <c r="A1461" s="7" t="s">
        <v>3501</v>
      </c>
      <c r="B1461" s="8" t="s">
        <v>3502</v>
      </c>
      <c r="C1461" s="8" t="s">
        <v>1865</v>
      </c>
      <c r="D1461" s="8" t="str">
        <f>"9789176854099"</f>
        <v>9789176854099</v>
      </c>
    </row>
    <row r="1462" spans="1:4" ht="30" x14ac:dyDescent="0.25">
      <c r="A1462" s="7" t="s">
        <v>15115</v>
      </c>
      <c r="B1462" s="8" t="s">
        <v>15116</v>
      </c>
      <c r="C1462" s="8" t="s">
        <v>1865</v>
      </c>
      <c r="D1462" s="8" t="str">
        <f>"9789175193298"</f>
        <v>9789175193298</v>
      </c>
    </row>
    <row r="1463" spans="1:4" x14ac:dyDescent="0.25">
      <c r="A1463" s="7" t="s">
        <v>6017</v>
      </c>
      <c r="B1463" s="8" t="s">
        <v>6018</v>
      </c>
      <c r="C1463" s="8" t="s">
        <v>2273</v>
      </c>
      <c r="D1463" s="8" t="str">
        <f>"9783319104256"</f>
        <v>9783319104256</v>
      </c>
    </row>
    <row r="1464" spans="1:4" ht="30" x14ac:dyDescent="0.25">
      <c r="A1464" s="7" t="s">
        <v>8888</v>
      </c>
      <c r="B1464" s="8" t="s">
        <v>8889</v>
      </c>
      <c r="C1464" s="8" t="s">
        <v>2273</v>
      </c>
      <c r="D1464" s="8" t="str">
        <f>"9783030902216"</f>
        <v>9783030902216</v>
      </c>
    </row>
    <row r="1465" spans="1:4" ht="30" x14ac:dyDescent="0.25">
      <c r="A1465" s="7" t="s">
        <v>3985</v>
      </c>
      <c r="B1465" s="8" t="s">
        <v>3986</v>
      </c>
      <c r="C1465" s="8" t="s">
        <v>1865</v>
      </c>
      <c r="D1465" s="8" t="str">
        <f>"9789176852231"</f>
        <v>9789176852231</v>
      </c>
    </row>
    <row r="1466" spans="1:4" ht="30" x14ac:dyDescent="0.25">
      <c r="A1466" s="7" t="s">
        <v>1539</v>
      </c>
      <c r="B1466" s="8" t="s">
        <v>1540</v>
      </c>
      <c r="C1466" s="8" t="s">
        <v>1345</v>
      </c>
      <c r="D1466" s="8" t="str">
        <f>"9783862192434"</f>
        <v>9783862192434</v>
      </c>
    </row>
    <row r="1467" spans="1:4" ht="30" x14ac:dyDescent="0.25">
      <c r="A1467" s="7" t="s">
        <v>10613</v>
      </c>
      <c r="B1467" s="8" t="s">
        <v>10614</v>
      </c>
      <c r="C1467" s="8" t="s">
        <v>2273</v>
      </c>
      <c r="D1467" s="8" t="str">
        <f>"9783030929015"</f>
        <v>9783030929015</v>
      </c>
    </row>
    <row r="1468" spans="1:4" x14ac:dyDescent="0.25">
      <c r="A1468" s="7" t="s">
        <v>10694</v>
      </c>
      <c r="B1468" s="8" t="s">
        <v>10695</v>
      </c>
      <c r="C1468" s="8" t="s">
        <v>1865</v>
      </c>
      <c r="D1468" s="8" t="str">
        <f>"9789179292966"</f>
        <v>9789179292966</v>
      </c>
    </row>
    <row r="1469" spans="1:4" ht="30" x14ac:dyDescent="0.25">
      <c r="A1469" s="7" t="s">
        <v>15170</v>
      </c>
      <c r="B1469" s="8" t="s">
        <v>10695</v>
      </c>
      <c r="C1469" s="8" t="s">
        <v>1865</v>
      </c>
      <c r="D1469" s="8" t="str">
        <f>"9789176851500"</f>
        <v>9789176851500</v>
      </c>
    </row>
    <row r="1470" spans="1:4" x14ac:dyDescent="0.25">
      <c r="A1470" s="7" t="s">
        <v>3509</v>
      </c>
      <c r="B1470" s="8" t="s">
        <v>3510</v>
      </c>
      <c r="C1470" s="8" t="s">
        <v>1865</v>
      </c>
      <c r="D1470" s="8" t="str">
        <f>"9789176853856"</f>
        <v>9789176853856</v>
      </c>
    </row>
    <row r="1471" spans="1:4" ht="30" x14ac:dyDescent="0.25">
      <c r="A1471" s="7" t="s">
        <v>1312</v>
      </c>
      <c r="B1471" s="8" t="s">
        <v>1313</v>
      </c>
      <c r="C1471" s="8" t="s">
        <v>1224</v>
      </c>
      <c r="D1471" s="8" t="str">
        <f>"9781618111890"</f>
        <v>9781618111890</v>
      </c>
    </row>
    <row r="1472" spans="1:4" x14ac:dyDescent="0.25">
      <c r="A1472" s="7" t="s">
        <v>5191</v>
      </c>
      <c r="B1472" s="8" t="s">
        <v>5192</v>
      </c>
      <c r="C1472" s="8" t="s">
        <v>2273</v>
      </c>
      <c r="D1472" s="8" t="str">
        <f>"9783030449797"</f>
        <v>9783030449797</v>
      </c>
    </row>
    <row r="1473" spans="1:4" x14ac:dyDescent="0.25">
      <c r="A1473" s="7" t="s">
        <v>602</v>
      </c>
      <c r="B1473" s="8" t="s">
        <v>603</v>
      </c>
      <c r="C1473" s="8" t="s">
        <v>562</v>
      </c>
      <c r="D1473" s="8" t="str">
        <f>"9780822392767"</f>
        <v>9780822392767</v>
      </c>
    </row>
    <row r="1474" spans="1:4" ht="30" x14ac:dyDescent="0.25">
      <c r="A1474" s="7" t="s">
        <v>15925</v>
      </c>
      <c r="B1474" s="8" t="s">
        <v>15926</v>
      </c>
      <c r="C1474" s="8" t="s">
        <v>1865</v>
      </c>
      <c r="D1474" s="8" t="str">
        <f>"9789175196626"</f>
        <v>9789175196626</v>
      </c>
    </row>
    <row r="1475" spans="1:4" x14ac:dyDescent="0.25">
      <c r="A1475" s="7" t="s">
        <v>12578</v>
      </c>
      <c r="B1475" s="8" t="s">
        <v>12579</v>
      </c>
      <c r="C1475" s="8" t="s">
        <v>2082</v>
      </c>
      <c r="D1475" s="8" t="str">
        <f>"9780472902903"</f>
        <v>9780472902903</v>
      </c>
    </row>
    <row r="1476" spans="1:4" x14ac:dyDescent="0.25">
      <c r="A1476" s="7" t="s">
        <v>8370</v>
      </c>
      <c r="B1476" s="8" t="s">
        <v>8371</v>
      </c>
      <c r="C1476" s="8" t="s">
        <v>993</v>
      </c>
      <c r="D1476" s="8" t="str">
        <f>"9783839448878"</f>
        <v>9783839448878</v>
      </c>
    </row>
    <row r="1477" spans="1:4" ht="30" x14ac:dyDescent="0.25">
      <c r="A1477" s="7" t="s">
        <v>8638</v>
      </c>
      <c r="B1477" s="8" t="s">
        <v>8639</v>
      </c>
      <c r="C1477" s="8" t="s">
        <v>2273</v>
      </c>
      <c r="D1477" s="8" t="str">
        <f>"9783030807917"</f>
        <v>9783030807917</v>
      </c>
    </row>
    <row r="1478" spans="1:4" x14ac:dyDescent="0.25">
      <c r="A1478" s="7" t="s">
        <v>6993</v>
      </c>
      <c r="B1478" s="8" t="s">
        <v>6994</v>
      </c>
      <c r="C1478" s="8" t="s">
        <v>355</v>
      </c>
      <c r="D1478" s="8" t="str">
        <f>"9783110639063"</f>
        <v>9783110639063</v>
      </c>
    </row>
    <row r="1479" spans="1:4" x14ac:dyDescent="0.25">
      <c r="A1479" s="7" t="s">
        <v>1269</v>
      </c>
      <c r="B1479" s="8" t="s">
        <v>1270</v>
      </c>
      <c r="C1479" s="8" t="s">
        <v>1224</v>
      </c>
      <c r="D1479" s="8" t="str">
        <f>"9781618116710"</f>
        <v>9781618116710</v>
      </c>
    </row>
    <row r="1480" spans="1:4" x14ac:dyDescent="0.25">
      <c r="A1480" s="7" t="s">
        <v>10962</v>
      </c>
      <c r="B1480" s="8" t="s">
        <v>10963</v>
      </c>
      <c r="C1480" s="8" t="s">
        <v>9138</v>
      </c>
      <c r="D1480" s="8" t="str">
        <f>"9780520972827"</f>
        <v>9780520972827</v>
      </c>
    </row>
    <row r="1481" spans="1:4" x14ac:dyDescent="0.25">
      <c r="A1481" s="7" t="s">
        <v>14600</v>
      </c>
      <c r="B1481" s="8" t="s">
        <v>14601</v>
      </c>
      <c r="C1481" s="8" t="s">
        <v>1865</v>
      </c>
      <c r="D1481" s="8" t="str">
        <f>"9789179292256"</f>
        <v>9789179292256</v>
      </c>
    </row>
    <row r="1482" spans="1:4" x14ac:dyDescent="0.25">
      <c r="A1482" s="7" t="s">
        <v>4986</v>
      </c>
      <c r="B1482" s="8" t="s">
        <v>4987</v>
      </c>
      <c r="C1482" s="8" t="s">
        <v>1879</v>
      </c>
      <c r="D1482" s="8" t="str">
        <f>"9781783749317"</f>
        <v>9781783749317</v>
      </c>
    </row>
    <row r="1483" spans="1:4" ht="30" x14ac:dyDescent="0.25">
      <c r="A1483" s="7" t="s">
        <v>7561</v>
      </c>
      <c r="B1483" s="8" t="s">
        <v>7562</v>
      </c>
      <c r="C1483" s="8" t="s">
        <v>993</v>
      </c>
      <c r="D1483" s="8" t="str">
        <f>"9783839413746"</f>
        <v>9783839413746</v>
      </c>
    </row>
    <row r="1484" spans="1:4" x14ac:dyDescent="0.25">
      <c r="A1484" s="7" t="s">
        <v>11404</v>
      </c>
      <c r="B1484" s="8" t="s">
        <v>10372</v>
      </c>
      <c r="C1484" s="8" t="s">
        <v>355</v>
      </c>
      <c r="D1484" s="8" t="str">
        <f>"9783110757279"</f>
        <v>9783110757279</v>
      </c>
    </row>
    <row r="1485" spans="1:4" ht="30" x14ac:dyDescent="0.25">
      <c r="A1485" s="7" t="s">
        <v>624</v>
      </c>
      <c r="B1485" s="8" t="s">
        <v>625</v>
      </c>
      <c r="C1485" s="8" t="s">
        <v>562</v>
      </c>
      <c r="D1485" s="8" t="str">
        <f>"9780822394587"</f>
        <v>9780822394587</v>
      </c>
    </row>
    <row r="1486" spans="1:4" x14ac:dyDescent="0.25">
      <c r="A1486" s="7" t="s">
        <v>937</v>
      </c>
      <c r="B1486" s="8" t="s">
        <v>938</v>
      </c>
      <c r="C1486" s="8" t="s">
        <v>355</v>
      </c>
      <c r="D1486" s="8" t="str">
        <f>"9783110402100"</f>
        <v>9783110402100</v>
      </c>
    </row>
    <row r="1487" spans="1:4" x14ac:dyDescent="0.25">
      <c r="A1487" s="7" t="s">
        <v>3237</v>
      </c>
      <c r="B1487" s="8" t="s">
        <v>3238</v>
      </c>
      <c r="C1487" s="8" t="s">
        <v>1036</v>
      </c>
      <c r="D1487" s="8" t="str">
        <f>"9789027265739"</f>
        <v>9789027265739</v>
      </c>
    </row>
    <row r="1488" spans="1:4" x14ac:dyDescent="0.25">
      <c r="A1488" s="7" t="s">
        <v>9190</v>
      </c>
      <c r="B1488" s="8" t="s">
        <v>9191</v>
      </c>
      <c r="C1488" s="8" t="s">
        <v>4882</v>
      </c>
      <c r="D1488" s="8" t="str">
        <f>"9781781384633"</f>
        <v>9781781384633</v>
      </c>
    </row>
    <row r="1489" spans="1:4" x14ac:dyDescent="0.25">
      <c r="A1489" s="7" t="s">
        <v>12219</v>
      </c>
      <c r="B1489" s="8" t="s">
        <v>12220</v>
      </c>
      <c r="C1489" s="8" t="s">
        <v>2273</v>
      </c>
      <c r="D1489" s="8" t="str">
        <f>"9783030982904"</f>
        <v>9783030982904</v>
      </c>
    </row>
    <row r="1490" spans="1:4" x14ac:dyDescent="0.25">
      <c r="A1490" s="7" t="s">
        <v>4293</v>
      </c>
      <c r="B1490" s="8" t="s">
        <v>4292</v>
      </c>
      <c r="C1490" s="8" t="s">
        <v>1345</v>
      </c>
      <c r="D1490" s="8" t="str">
        <f>"9783737606059"</f>
        <v>9783737606059</v>
      </c>
    </row>
    <row r="1491" spans="1:4" ht="30" x14ac:dyDescent="0.25">
      <c r="A1491" s="7" t="s">
        <v>10319</v>
      </c>
      <c r="B1491" s="8" t="s">
        <v>10320</v>
      </c>
      <c r="C1491" s="8" t="s">
        <v>993</v>
      </c>
      <c r="D1491" s="8" t="str">
        <f>"9783839448892"</f>
        <v>9783839448892</v>
      </c>
    </row>
    <row r="1492" spans="1:4" ht="30" x14ac:dyDescent="0.25">
      <c r="A1492" s="7" t="s">
        <v>10224</v>
      </c>
      <c r="B1492" s="8" t="s">
        <v>10225</v>
      </c>
      <c r="C1492" s="8" t="s">
        <v>993</v>
      </c>
      <c r="D1492" s="8" t="str">
        <f>"9783839445259"</f>
        <v>9783839445259</v>
      </c>
    </row>
    <row r="1493" spans="1:4" ht="30" x14ac:dyDescent="0.25">
      <c r="A1493" s="7" t="s">
        <v>10321</v>
      </c>
      <c r="B1493" s="8" t="s">
        <v>10322</v>
      </c>
      <c r="C1493" s="8" t="s">
        <v>993</v>
      </c>
      <c r="D1493" s="8" t="str">
        <f>"9783839448908"</f>
        <v>9783839448908</v>
      </c>
    </row>
    <row r="1494" spans="1:4" ht="30" x14ac:dyDescent="0.25">
      <c r="A1494" s="7" t="s">
        <v>10630</v>
      </c>
      <c r="B1494" s="8" t="s">
        <v>10631</v>
      </c>
      <c r="C1494" s="8" t="s">
        <v>2273</v>
      </c>
      <c r="D1494" s="8" t="str">
        <f>"9783030978372"</f>
        <v>9783030978372</v>
      </c>
    </row>
    <row r="1495" spans="1:4" x14ac:dyDescent="0.25">
      <c r="A1495" s="7" t="s">
        <v>12318</v>
      </c>
      <c r="B1495" s="8" t="s">
        <v>12319</v>
      </c>
      <c r="C1495" s="8" t="s">
        <v>993</v>
      </c>
      <c r="D1495" s="8" t="str">
        <f>"9783839461044"</f>
        <v>9783839461044</v>
      </c>
    </row>
    <row r="1496" spans="1:4" x14ac:dyDescent="0.25">
      <c r="A1496" s="7" t="s">
        <v>6977</v>
      </c>
      <c r="B1496" s="8" t="s">
        <v>6978</v>
      </c>
      <c r="C1496" s="8" t="s">
        <v>2273</v>
      </c>
      <c r="D1496" s="8" t="str">
        <f>"9783030632342"</f>
        <v>9783030632342</v>
      </c>
    </row>
    <row r="1497" spans="1:4" x14ac:dyDescent="0.25">
      <c r="A1497" s="7" t="s">
        <v>8052</v>
      </c>
      <c r="B1497" s="8" t="s">
        <v>8053</v>
      </c>
      <c r="C1497" s="8" t="s">
        <v>4245</v>
      </c>
      <c r="D1497" s="8" t="str">
        <f>"9789811640674"</f>
        <v>9789811640674</v>
      </c>
    </row>
    <row r="1498" spans="1:4" x14ac:dyDescent="0.25">
      <c r="A1498" s="7" t="s">
        <v>4377</v>
      </c>
      <c r="B1498" s="8" t="s">
        <v>4378</v>
      </c>
      <c r="C1498" s="8" t="s">
        <v>1865</v>
      </c>
      <c r="D1498" s="8" t="str">
        <f>"9789176851159"</f>
        <v>9789176851159</v>
      </c>
    </row>
    <row r="1499" spans="1:4" ht="30" x14ac:dyDescent="0.25">
      <c r="A1499" s="7" t="s">
        <v>12548</v>
      </c>
      <c r="B1499" s="8" t="s">
        <v>12549</v>
      </c>
      <c r="C1499" s="8" t="s">
        <v>2273</v>
      </c>
      <c r="D1499" s="8" t="str">
        <f>"9783030998110"</f>
        <v>9783030998110</v>
      </c>
    </row>
    <row r="1500" spans="1:4" x14ac:dyDescent="0.25">
      <c r="A1500" s="7" t="s">
        <v>11449</v>
      </c>
      <c r="B1500" s="8" t="s">
        <v>11450</v>
      </c>
      <c r="C1500" s="8" t="s">
        <v>355</v>
      </c>
      <c r="D1500" s="8" t="str">
        <f>"9783110607208"</f>
        <v>9783110607208</v>
      </c>
    </row>
    <row r="1501" spans="1:4" x14ac:dyDescent="0.25">
      <c r="A1501" s="7" t="s">
        <v>6514</v>
      </c>
      <c r="B1501" s="8" t="s">
        <v>6515</v>
      </c>
      <c r="C1501" s="8" t="s">
        <v>1865</v>
      </c>
      <c r="D1501" s="8" t="str">
        <f>"9789179297077"</f>
        <v>9789179297077</v>
      </c>
    </row>
    <row r="1502" spans="1:4" x14ac:dyDescent="0.25">
      <c r="A1502" s="7" t="s">
        <v>4025</v>
      </c>
      <c r="B1502" s="8" t="s">
        <v>106</v>
      </c>
      <c r="C1502" s="8" t="s">
        <v>355</v>
      </c>
      <c r="D1502" s="8" t="str">
        <f>"9783110495416"</f>
        <v>9783110495416</v>
      </c>
    </row>
    <row r="1503" spans="1:4" ht="30" x14ac:dyDescent="0.25">
      <c r="A1503" s="7" t="s">
        <v>14029</v>
      </c>
      <c r="B1503" s="8" t="s">
        <v>14030</v>
      </c>
      <c r="C1503" s="8" t="s">
        <v>13997</v>
      </c>
      <c r="D1503" s="8" t="str">
        <f>"9789566095316"</f>
        <v>9789566095316</v>
      </c>
    </row>
    <row r="1504" spans="1:4" x14ac:dyDescent="0.25">
      <c r="A1504" s="7" t="s">
        <v>10080</v>
      </c>
      <c r="B1504" s="8" t="s">
        <v>10081</v>
      </c>
      <c r="C1504" s="8" t="s">
        <v>993</v>
      </c>
      <c r="D1504" s="8" t="str">
        <f>"9783839430316"</f>
        <v>9783839430316</v>
      </c>
    </row>
    <row r="1505" spans="1:4" x14ac:dyDescent="0.25">
      <c r="A1505" s="7" t="s">
        <v>8821</v>
      </c>
      <c r="B1505" s="8" t="s">
        <v>8822</v>
      </c>
      <c r="C1505" s="8" t="s">
        <v>8805</v>
      </c>
      <c r="D1505" s="8" t="str">
        <f>"9781934831229"</f>
        <v>9781934831229</v>
      </c>
    </row>
    <row r="1506" spans="1:4" x14ac:dyDescent="0.25">
      <c r="A1506" s="7" t="s">
        <v>12400</v>
      </c>
      <c r="B1506" s="8" t="s">
        <v>12401</v>
      </c>
      <c r="C1506" s="8" t="s">
        <v>355</v>
      </c>
      <c r="D1506" s="8" t="str">
        <f>"9783110765090"</f>
        <v>9783110765090</v>
      </c>
    </row>
    <row r="1507" spans="1:4" x14ac:dyDescent="0.25">
      <c r="A1507" s="7" t="s">
        <v>15051</v>
      </c>
      <c r="B1507" s="8" t="s">
        <v>15052</v>
      </c>
      <c r="C1507" s="8" t="s">
        <v>1865</v>
      </c>
      <c r="D1507" s="8" t="str">
        <f>"9789176851265"</f>
        <v>9789176851265</v>
      </c>
    </row>
    <row r="1508" spans="1:4" x14ac:dyDescent="0.25">
      <c r="A1508" s="7" t="s">
        <v>5492</v>
      </c>
      <c r="B1508" s="8" t="s">
        <v>5493</v>
      </c>
      <c r="C1508" s="8" t="s">
        <v>2273</v>
      </c>
      <c r="D1508" s="8" t="str">
        <f>"9783030575625"</f>
        <v>9783030575625</v>
      </c>
    </row>
    <row r="1509" spans="1:4" x14ac:dyDescent="0.25">
      <c r="A1509" s="7" t="s">
        <v>13777</v>
      </c>
      <c r="B1509" s="8" t="s">
        <v>13778</v>
      </c>
      <c r="C1509" s="8" t="s">
        <v>2273</v>
      </c>
      <c r="D1509" s="8" t="str">
        <f>"9783031122057"</f>
        <v>9783031122057</v>
      </c>
    </row>
    <row r="1510" spans="1:4" x14ac:dyDescent="0.25">
      <c r="A1510" s="7" t="s">
        <v>6613</v>
      </c>
      <c r="B1510" s="8" t="s">
        <v>6302</v>
      </c>
      <c r="C1510" s="8" t="s">
        <v>5086</v>
      </c>
      <c r="D1510" s="8" t="str">
        <f>"9783658321598"</f>
        <v>9783658321598</v>
      </c>
    </row>
    <row r="1511" spans="1:4" ht="30" x14ac:dyDescent="0.25">
      <c r="A1511" s="7" t="s">
        <v>10253</v>
      </c>
      <c r="B1511" s="8" t="s">
        <v>10254</v>
      </c>
      <c r="C1511" s="8" t="s">
        <v>993</v>
      </c>
      <c r="D1511" s="8" t="str">
        <f>"9783839446218"</f>
        <v>9783839446218</v>
      </c>
    </row>
    <row r="1512" spans="1:4" x14ac:dyDescent="0.25">
      <c r="A1512" s="7" t="s">
        <v>3519</v>
      </c>
      <c r="B1512" s="8" t="s">
        <v>3520</v>
      </c>
      <c r="C1512" s="8" t="s">
        <v>1879</v>
      </c>
      <c r="D1512" s="8" t="str">
        <f>"9781783740697"</f>
        <v>9781783740697</v>
      </c>
    </row>
    <row r="1513" spans="1:4" x14ac:dyDescent="0.25">
      <c r="A1513" s="7" t="s">
        <v>5960</v>
      </c>
      <c r="B1513" s="8" t="s">
        <v>5961</v>
      </c>
      <c r="C1513" s="8" t="s">
        <v>2273</v>
      </c>
      <c r="D1513" s="8" t="str">
        <f>"9783319295442"</f>
        <v>9783319295442</v>
      </c>
    </row>
    <row r="1514" spans="1:4" x14ac:dyDescent="0.25">
      <c r="A1514" s="7" t="s">
        <v>7588</v>
      </c>
      <c r="B1514" s="8" t="s">
        <v>7589</v>
      </c>
      <c r="C1514" s="8" t="s">
        <v>993</v>
      </c>
      <c r="D1514" s="8" t="str">
        <f>"9783839417249"</f>
        <v>9783839417249</v>
      </c>
    </row>
    <row r="1515" spans="1:4" x14ac:dyDescent="0.25">
      <c r="A1515" s="7" t="s">
        <v>11538</v>
      </c>
      <c r="B1515" s="8" t="s">
        <v>11539</v>
      </c>
      <c r="C1515" s="8" t="s">
        <v>355</v>
      </c>
      <c r="D1515" s="8" t="str">
        <f>"9783110683042"</f>
        <v>9783110683042</v>
      </c>
    </row>
    <row r="1516" spans="1:4" ht="30" x14ac:dyDescent="0.25">
      <c r="A1516" s="7" t="s">
        <v>10987</v>
      </c>
      <c r="B1516" s="8" t="s">
        <v>10988</v>
      </c>
      <c r="C1516" s="8" t="s">
        <v>2273</v>
      </c>
      <c r="D1516" s="8" t="str">
        <f>"9783030955083"</f>
        <v>9783030955083</v>
      </c>
    </row>
    <row r="1517" spans="1:4" x14ac:dyDescent="0.25">
      <c r="A1517" s="7" t="s">
        <v>11470</v>
      </c>
      <c r="B1517" s="8" t="s">
        <v>11471</v>
      </c>
      <c r="C1517" s="8" t="s">
        <v>355</v>
      </c>
      <c r="D1517" s="8" t="str">
        <f>"9783110679151"</f>
        <v>9783110679151</v>
      </c>
    </row>
    <row r="1518" spans="1:4" x14ac:dyDescent="0.25">
      <c r="A1518" s="7" t="s">
        <v>7088</v>
      </c>
      <c r="B1518" s="8" t="s">
        <v>7089</v>
      </c>
      <c r="C1518" s="8" t="s">
        <v>355</v>
      </c>
      <c r="D1518" s="8" t="str">
        <f>"9783110647044"</f>
        <v>9783110647044</v>
      </c>
    </row>
    <row r="1519" spans="1:4" x14ac:dyDescent="0.25">
      <c r="A1519" s="7" t="s">
        <v>10067</v>
      </c>
      <c r="B1519" s="8" t="s">
        <v>10068</v>
      </c>
      <c r="C1519" s="8" t="s">
        <v>993</v>
      </c>
      <c r="D1519" s="8" t="str">
        <f>"9783839425336"</f>
        <v>9783839425336</v>
      </c>
    </row>
    <row r="1520" spans="1:4" x14ac:dyDescent="0.25">
      <c r="A1520" s="7" t="s">
        <v>8876</v>
      </c>
      <c r="B1520" s="8" t="s">
        <v>8877</v>
      </c>
      <c r="C1520" s="8" t="s">
        <v>316</v>
      </c>
      <c r="D1520" s="8" t="str">
        <f>"9783110927832"</f>
        <v>9783110927832</v>
      </c>
    </row>
    <row r="1521" spans="1:4" ht="30" x14ac:dyDescent="0.25">
      <c r="A1521" s="7" t="s">
        <v>12598</v>
      </c>
      <c r="B1521" s="8" t="s">
        <v>12599</v>
      </c>
      <c r="C1521" s="8" t="s">
        <v>355</v>
      </c>
      <c r="D1521" s="8" t="str">
        <f>"9783110744552"</f>
        <v>9783110744552</v>
      </c>
    </row>
    <row r="1522" spans="1:4" x14ac:dyDescent="0.25">
      <c r="A1522" s="7" t="s">
        <v>645</v>
      </c>
      <c r="B1522" s="8" t="s">
        <v>646</v>
      </c>
      <c r="C1522" s="8" t="s">
        <v>562</v>
      </c>
      <c r="D1522" s="8" t="str">
        <f>"9780822395331"</f>
        <v>9780822395331</v>
      </c>
    </row>
    <row r="1523" spans="1:4" x14ac:dyDescent="0.25">
      <c r="A1523" s="7" t="s">
        <v>12275</v>
      </c>
      <c r="B1523" s="8" t="s">
        <v>12276</v>
      </c>
      <c r="C1523" s="8" t="s">
        <v>993</v>
      </c>
      <c r="D1523" s="8" t="str">
        <f>"9783839457870"</f>
        <v>9783839457870</v>
      </c>
    </row>
    <row r="1524" spans="1:4" x14ac:dyDescent="0.25">
      <c r="A1524" s="7" t="s">
        <v>6987</v>
      </c>
      <c r="B1524" s="8" t="s">
        <v>6988</v>
      </c>
      <c r="C1524" s="8" t="s">
        <v>355</v>
      </c>
      <c r="D1524" s="8" t="str">
        <f>"9788395609558"</f>
        <v>9788395609558</v>
      </c>
    </row>
    <row r="1525" spans="1:4" x14ac:dyDescent="0.25">
      <c r="A1525" s="7" t="s">
        <v>11435</v>
      </c>
      <c r="B1525" s="8" t="s">
        <v>7157</v>
      </c>
      <c r="C1525" s="8" t="s">
        <v>355</v>
      </c>
      <c r="D1525" s="8" t="str">
        <f>"9783110586374"</f>
        <v>9783110586374</v>
      </c>
    </row>
    <row r="1526" spans="1:4" x14ac:dyDescent="0.25">
      <c r="A1526" s="7" t="s">
        <v>1266</v>
      </c>
      <c r="B1526" s="8" t="s">
        <v>1267</v>
      </c>
      <c r="C1526" s="8" t="s">
        <v>1224</v>
      </c>
      <c r="D1526" s="8" t="str">
        <f>"9781618110602"</f>
        <v>9781618110602</v>
      </c>
    </row>
    <row r="1527" spans="1:4" x14ac:dyDescent="0.25">
      <c r="A1527" s="7" t="s">
        <v>9178</v>
      </c>
      <c r="B1527" s="8" t="s">
        <v>9179</v>
      </c>
      <c r="C1527" s="8" t="s">
        <v>4882</v>
      </c>
      <c r="D1527" s="8" t="str">
        <f>"9781781382035"</f>
        <v>9781781382035</v>
      </c>
    </row>
    <row r="1528" spans="1:4" x14ac:dyDescent="0.25">
      <c r="A1528" s="7" t="s">
        <v>3723</v>
      </c>
      <c r="B1528" s="8" t="s">
        <v>3724</v>
      </c>
      <c r="C1528" s="8" t="s">
        <v>993</v>
      </c>
      <c r="D1528" s="8" t="str">
        <f>"9783839439340"</f>
        <v>9783839439340</v>
      </c>
    </row>
    <row r="1529" spans="1:4" ht="45" x14ac:dyDescent="0.25">
      <c r="A1529" s="7" t="s">
        <v>11737</v>
      </c>
      <c r="B1529" s="8" t="s">
        <v>11738</v>
      </c>
      <c r="C1529" s="8" t="s">
        <v>355</v>
      </c>
      <c r="D1529" s="8" t="str">
        <f>"9783110597745"</f>
        <v>9783110597745</v>
      </c>
    </row>
    <row r="1530" spans="1:4" ht="30" x14ac:dyDescent="0.25">
      <c r="A1530" s="7" t="s">
        <v>685</v>
      </c>
      <c r="B1530" s="8" t="s">
        <v>665</v>
      </c>
      <c r="C1530" s="8" t="s">
        <v>316</v>
      </c>
      <c r="D1530" s="8" t="str">
        <f>"9783110328936"</f>
        <v>9783110328936</v>
      </c>
    </row>
    <row r="1531" spans="1:4" x14ac:dyDescent="0.25">
      <c r="A1531" s="7" t="s">
        <v>7290</v>
      </c>
      <c r="B1531" s="8" t="s">
        <v>7291</v>
      </c>
      <c r="C1531" s="8" t="s">
        <v>993</v>
      </c>
      <c r="D1531" s="8" t="str">
        <f>"9783839455906"</f>
        <v>9783839455906</v>
      </c>
    </row>
    <row r="1532" spans="1:4" x14ac:dyDescent="0.25">
      <c r="A1532" s="7" t="s">
        <v>8162</v>
      </c>
      <c r="B1532" s="8" t="s">
        <v>8163</v>
      </c>
      <c r="C1532" s="8" t="s">
        <v>993</v>
      </c>
      <c r="D1532" s="8" t="str">
        <f>"9783839452431"</f>
        <v>9783839452431</v>
      </c>
    </row>
    <row r="1533" spans="1:4" x14ac:dyDescent="0.25">
      <c r="A1533" s="7" t="s">
        <v>6217</v>
      </c>
      <c r="B1533" s="8" t="s">
        <v>6218</v>
      </c>
      <c r="C1533" s="8" t="s">
        <v>2273</v>
      </c>
      <c r="D1533" s="8" t="str">
        <f>"9783319301204"</f>
        <v>9783319301204</v>
      </c>
    </row>
    <row r="1534" spans="1:4" x14ac:dyDescent="0.25">
      <c r="A1534" s="7" t="s">
        <v>9404</v>
      </c>
      <c r="B1534" s="8" t="s">
        <v>9405</v>
      </c>
      <c r="C1534" s="8" t="s">
        <v>9256</v>
      </c>
      <c r="D1534" s="8" t="str">
        <f>"9788021097810"</f>
        <v>9788021097810</v>
      </c>
    </row>
    <row r="1535" spans="1:4" x14ac:dyDescent="0.25">
      <c r="A1535" s="7" t="s">
        <v>3840</v>
      </c>
      <c r="B1535" s="8" t="s">
        <v>3841</v>
      </c>
      <c r="C1535" s="8" t="s">
        <v>355</v>
      </c>
      <c r="D1535" s="8" t="str">
        <f>"9783110488401"</f>
        <v>9783110488401</v>
      </c>
    </row>
    <row r="1536" spans="1:4" ht="30" x14ac:dyDescent="0.25">
      <c r="A1536" s="7" t="s">
        <v>4067</v>
      </c>
      <c r="B1536" s="8" t="s">
        <v>4065</v>
      </c>
      <c r="C1536" s="8" t="s">
        <v>355</v>
      </c>
      <c r="D1536" s="8" t="str">
        <f>"9783110584974"</f>
        <v>9783110584974</v>
      </c>
    </row>
    <row r="1537" spans="1:4" ht="30" x14ac:dyDescent="0.25">
      <c r="A1537" s="7" t="s">
        <v>4064</v>
      </c>
      <c r="B1537" s="8" t="s">
        <v>4065</v>
      </c>
      <c r="C1537" s="8" t="s">
        <v>355</v>
      </c>
      <c r="D1537" s="8" t="str">
        <f>"9783110584998"</f>
        <v>9783110584998</v>
      </c>
    </row>
    <row r="1538" spans="1:4" ht="30" x14ac:dyDescent="0.25">
      <c r="A1538" s="7" t="s">
        <v>6747</v>
      </c>
      <c r="B1538" s="8" t="s">
        <v>6748</v>
      </c>
      <c r="C1538" s="8" t="s">
        <v>1865</v>
      </c>
      <c r="D1538" s="8" t="str">
        <f>"9789179296520"</f>
        <v>9789179296520</v>
      </c>
    </row>
    <row r="1539" spans="1:4" x14ac:dyDescent="0.25">
      <c r="A1539" s="7" t="s">
        <v>4896</v>
      </c>
      <c r="B1539" s="8" t="s">
        <v>4897</v>
      </c>
      <c r="C1539" s="8" t="s">
        <v>1865</v>
      </c>
      <c r="D1539" s="8" t="str">
        <f>"9789179299163"</f>
        <v>9789179299163</v>
      </c>
    </row>
    <row r="1540" spans="1:4" x14ac:dyDescent="0.25">
      <c r="A1540" s="7" t="s">
        <v>3299</v>
      </c>
      <c r="B1540" s="8" t="s">
        <v>3300</v>
      </c>
      <c r="C1540" s="8" t="s">
        <v>1865</v>
      </c>
      <c r="D1540" s="8" t="str">
        <f>"9789176855270"</f>
        <v>9789176855270</v>
      </c>
    </row>
    <row r="1541" spans="1:4" x14ac:dyDescent="0.25">
      <c r="A1541" s="7" t="s">
        <v>4327</v>
      </c>
      <c r="B1541" s="8" t="s">
        <v>4328</v>
      </c>
      <c r="C1541" s="8" t="s">
        <v>1865</v>
      </c>
      <c r="D1541" s="8" t="str">
        <f>"9789176851494"</f>
        <v>9789176851494</v>
      </c>
    </row>
    <row r="1542" spans="1:4" ht="30" x14ac:dyDescent="0.25">
      <c r="A1542" s="7" t="s">
        <v>6418</v>
      </c>
      <c r="B1542" s="8" t="s">
        <v>6419</v>
      </c>
      <c r="C1542" s="8" t="s">
        <v>4245</v>
      </c>
      <c r="D1542" s="8" t="str">
        <f>"9789813349223"</f>
        <v>9789813349223</v>
      </c>
    </row>
    <row r="1543" spans="1:4" ht="30" x14ac:dyDescent="0.25">
      <c r="A1543" s="7" t="s">
        <v>9026</v>
      </c>
      <c r="B1543" s="8" t="s">
        <v>6419</v>
      </c>
      <c r="C1543" s="8" t="s">
        <v>4245</v>
      </c>
      <c r="D1543" s="8" t="str">
        <f>"9789811692291"</f>
        <v>9789811692291</v>
      </c>
    </row>
    <row r="1544" spans="1:4" ht="30" x14ac:dyDescent="0.25">
      <c r="A1544" s="7" t="s">
        <v>13749</v>
      </c>
      <c r="B1544" s="8" t="s">
        <v>6419</v>
      </c>
      <c r="C1544" s="8" t="s">
        <v>2274</v>
      </c>
      <c r="D1544" s="8" t="str">
        <f>"9789811982859"</f>
        <v>9789811982859</v>
      </c>
    </row>
    <row r="1545" spans="1:4" x14ac:dyDescent="0.25">
      <c r="A1545" s="7" t="s">
        <v>5158</v>
      </c>
      <c r="B1545" s="8" t="s">
        <v>5159</v>
      </c>
      <c r="C1545" s="8" t="s">
        <v>2273</v>
      </c>
      <c r="D1545" s="8" t="str">
        <f>"9783030360719"</f>
        <v>9783030360719</v>
      </c>
    </row>
    <row r="1546" spans="1:4" x14ac:dyDescent="0.25">
      <c r="A1546" s="7" t="s">
        <v>8617</v>
      </c>
      <c r="B1546" s="8" t="s">
        <v>8618</v>
      </c>
      <c r="C1546" s="8" t="s">
        <v>2273</v>
      </c>
      <c r="D1546" s="8" t="str">
        <f>"9783030785512"</f>
        <v>9783030785512</v>
      </c>
    </row>
    <row r="1547" spans="1:4" x14ac:dyDescent="0.25">
      <c r="A1547" s="7" t="s">
        <v>9589</v>
      </c>
      <c r="B1547" s="8" t="s">
        <v>9590</v>
      </c>
      <c r="C1547" s="8" t="s">
        <v>2273</v>
      </c>
      <c r="D1547" s="8" t="str">
        <f>"9783031040368"</f>
        <v>9783031040368</v>
      </c>
    </row>
    <row r="1548" spans="1:4" x14ac:dyDescent="0.25">
      <c r="A1548" s="7" t="s">
        <v>12304</v>
      </c>
      <c r="B1548" s="8" t="s">
        <v>12305</v>
      </c>
      <c r="C1548" s="8" t="s">
        <v>993</v>
      </c>
      <c r="D1548" s="8" t="str">
        <f>"9783839460641"</f>
        <v>9783839460641</v>
      </c>
    </row>
    <row r="1549" spans="1:4" x14ac:dyDescent="0.25">
      <c r="A1549" s="7" t="s">
        <v>10510</v>
      </c>
      <c r="B1549" s="8" t="s">
        <v>10511</v>
      </c>
      <c r="C1549" s="8" t="s">
        <v>993</v>
      </c>
      <c r="D1549" s="8" t="str">
        <f>"9783839458556"</f>
        <v>9783839458556</v>
      </c>
    </row>
    <row r="1550" spans="1:4" x14ac:dyDescent="0.25">
      <c r="A1550" s="7" t="s">
        <v>5900</v>
      </c>
      <c r="B1550" s="8" t="s">
        <v>5901</v>
      </c>
      <c r="C1550" s="8" t="s">
        <v>2785</v>
      </c>
      <c r="D1550" s="8" t="str">
        <f>"9780230109773"</f>
        <v>9780230109773</v>
      </c>
    </row>
    <row r="1551" spans="1:4" x14ac:dyDescent="0.25">
      <c r="A1551" s="7" t="s">
        <v>9325</v>
      </c>
      <c r="B1551" s="8" t="s">
        <v>9326</v>
      </c>
      <c r="C1551" s="8" t="s">
        <v>9256</v>
      </c>
      <c r="D1551" s="8" t="str">
        <f>"9788021095427"</f>
        <v>9788021095427</v>
      </c>
    </row>
    <row r="1552" spans="1:4" x14ac:dyDescent="0.25">
      <c r="A1552" s="7" t="s">
        <v>16410</v>
      </c>
      <c r="B1552" s="8" t="s">
        <v>16411</v>
      </c>
      <c r="C1552" s="8" t="s">
        <v>329</v>
      </c>
      <c r="D1552" s="8" t="str">
        <f>"9789048553341"</f>
        <v>9789048553341</v>
      </c>
    </row>
    <row r="1553" spans="1:4" x14ac:dyDescent="0.25">
      <c r="A1553" s="7" t="s">
        <v>11516</v>
      </c>
      <c r="B1553" s="8" t="s">
        <v>11517</v>
      </c>
      <c r="C1553" s="8" t="s">
        <v>355</v>
      </c>
      <c r="D1553" s="8" t="str">
        <f>"9788395669644"</f>
        <v>9788395669644</v>
      </c>
    </row>
    <row r="1554" spans="1:4" ht="30" x14ac:dyDescent="0.25">
      <c r="A1554" s="7" t="s">
        <v>3997</v>
      </c>
      <c r="B1554" s="8" t="s">
        <v>3998</v>
      </c>
      <c r="C1554" s="8" t="s">
        <v>1345</v>
      </c>
      <c r="D1554" s="8" t="str">
        <f>"9783737605731"</f>
        <v>9783737605731</v>
      </c>
    </row>
    <row r="1555" spans="1:4" x14ac:dyDescent="0.25">
      <c r="A1555" s="7" t="s">
        <v>11055</v>
      </c>
      <c r="B1555" s="8" t="s">
        <v>11056</v>
      </c>
      <c r="C1555" s="8" t="s">
        <v>6716</v>
      </c>
      <c r="D1555" s="8" t="str">
        <f>"9780472901968"</f>
        <v>9780472901968</v>
      </c>
    </row>
    <row r="1556" spans="1:4" x14ac:dyDescent="0.25">
      <c r="A1556" s="7" t="s">
        <v>2615</v>
      </c>
      <c r="B1556" s="8" t="s">
        <v>2616</v>
      </c>
      <c r="C1556" s="8" t="s">
        <v>562</v>
      </c>
      <c r="D1556" s="8" t="str">
        <f>"9780822374312"</f>
        <v>9780822374312</v>
      </c>
    </row>
    <row r="1557" spans="1:4" x14ac:dyDescent="0.25">
      <c r="A1557" s="7" t="s">
        <v>9842</v>
      </c>
      <c r="B1557" s="8" t="s">
        <v>9843</v>
      </c>
      <c r="C1557" s="8" t="s">
        <v>993</v>
      </c>
      <c r="D1557" s="8" t="str">
        <f>"9783839406427"</f>
        <v>9783839406427</v>
      </c>
    </row>
    <row r="1558" spans="1:4" x14ac:dyDescent="0.25">
      <c r="A1558" s="7" t="s">
        <v>11354</v>
      </c>
      <c r="B1558" s="8" t="s">
        <v>11355</v>
      </c>
      <c r="C1558" s="8" t="s">
        <v>355</v>
      </c>
      <c r="D1558" s="8" t="str">
        <f>"9783110622430"</f>
        <v>9783110622430</v>
      </c>
    </row>
    <row r="1559" spans="1:4" x14ac:dyDescent="0.25">
      <c r="A1559" s="7" t="s">
        <v>789</v>
      </c>
      <c r="B1559" s="8" t="s">
        <v>790</v>
      </c>
      <c r="C1559" s="8" t="s">
        <v>355</v>
      </c>
      <c r="D1559" s="8" t="str">
        <f>"9783486989298"</f>
        <v>9783486989298</v>
      </c>
    </row>
    <row r="1560" spans="1:4" x14ac:dyDescent="0.25">
      <c r="A1560" s="7" t="s">
        <v>11262</v>
      </c>
      <c r="B1560" s="8" t="s">
        <v>11263</v>
      </c>
      <c r="C1560" s="8" t="s">
        <v>355</v>
      </c>
      <c r="D1560" s="8" t="str">
        <f>"9783110622638"</f>
        <v>9783110622638</v>
      </c>
    </row>
    <row r="1561" spans="1:4" ht="30" x14ac:dyDescent="0.25">
      <c r="A1561" s="7" t="s">
        <v>763</v>
      </c>
      <c r="B1561" s="8" t="s">
        <v>151</v>
      </c>
      <c r="C1561" s="8" t="s">
        <v>355</v>
      </c>
      <c r="D1561" s="8" t="str">
        <f>"9783486716122"</f>
        <v>9783486716122</v>
      </c>
    </row>
    <row r="1562" spans="1:4" x14ac:dyDescent="0.25">
      <c r="A1562" s="7" t="s">
        <v>13469</v>
      </c>
      <c r="B1562" s="8" t="s">
        <v>12875</v>
      </c>
      <c r="C1562" s="8" t="s">
        <v>12712</v>
      </c>
      <c r="D1562" s="8" t="str">
        <f>"9783428454907"</f>
        <v>9783428454907</v>
      </c>
    </row>
    <row r="1563" spans="1:4" x14ac:dyDescent="0.25">
      <c r="A1563" s="7" t="s">
        <v>7927</v>
      </c>
      <c r="B1563" s="8" t="s">
        <v>65</v>
      </c>
      <c r="C1563" s="8" t="s">
        <v>993</v>
      </c>
      <c r="D1563" s="8" t="str">
        <f>"9783839453209"</f>
        <v>9783839453209</v>
      </c>
    </row>
    <row r="1564" spans="1:4" x14ac:dyDescent="0.25">
      <c r="A1564" s="7" t="s">
        <v>838</v>
      </c>
      <c r="B1564" s="8" t="s">
        <v>839</v>
      </c>
      <c r="C1564" s="8" t="s">
        <v>355</v>
      </c>
      <c r="D1564" s="8" t="str">
        <f>"9783110345438"</f>
        <v>9783110345438</v>
      </c>
    </row>
    <row r="1565" spans="1:4" x14ac:dyDescent="0.25">
      <c r="A1565" s="7" t="s">
        <v>8679</v>
      </c>
      <c r="B1565" s="8" t="s">
        <v>8680</v>
      </c>
      <c r="C1565" s="8" t="s">
        <v>993</v>
      </c>
      <c r="D1565" s="8" t="str">
        <f>"9783839457894"</f>
        <v>9783839457894</v>
      </c>
    </row>
    <row r="1566" spans="1:4" x14ac:dyDescent="0.25">
      <c r="A1566" s="7" t="s">
        <v>10037</v>
      </c>
      <c r="B1566" s="8" t="s">
        <v>10038</v>
      </c>
      <c r="C1566" s="8" t="s">
        <v>993</v>
      </c>
      <c r="D1566" s="8" t="str">
        <f>"9783839411285"</f>
        <v>9783839411285</v>
      </c>
    </row>
    <row r="1567" spans="1:4" ht="30" x14ac:dyDescent="0.25">
      <c r="A1567" s="7" t="s">
        <v>2586</v>
      </c>
      <c r="B1567" s="8" t="s">
        <v>2587</v>
      </c>
      <c r="C1567" s="8" t="s">
        <v>355</v>
      </c>
      <c r="D1567" s="8" t="str">
        <f>"9783110432619"</f>
        <v>9783110432619</v>
      </c>
    </row>
    <row r="1568" spans="1:4" ht="30" x14ac:dyDescent="0.25">
      <c r="A1568" s="7" t="s">
        <v>10049</v>
      </c>
      <c r="B1568" s="8" t="s">
        <v>10050</v>
      </c>
      <c r="C1568" s="8" t="s">
        <v>993</v>
      </c>
      <c r="D1568" s="8" t="str">
        <f>"9783839412183"</f>
        <v>9783839412183</v>
      </c>
    </row>
    <row r="1569" spans="1:4" ht="45" x14ac:dyDescent="0.25">
      <c r="A1569" s="7" t="s">
        <v>11285</v>
      </c>
      <c r="B1569" s="8" t="s">
        <v>11286</v>
      </c>
      <c r="C1569" s="8" t="s">
        <v>355</v>
      </c>
      <c r="D1569" s="8" t="str">
        <f>"9783110718270"</f>
        <v>9783110718270</v>
      </c>
    </row>
    <row r="1570" spans="1:4" x14ac:dyDescent="0.25">
      <c r="A1570" s="7" t="s">
        <v>5840</v>
      </c>
      <c r="B1570" s="8" t="s">
        <v>5841</v>
      </c>
      <c r="C1570" s="8" t="s">
        <v>5134</v>
      </c>
      <c r="D1570" s="8" t="str">
        <f>"9783662514207"</f>
        <v>9783662514207</v>
      </c>
    </row>
    <row r="1571" spans="1:4" ht="30" x14ac:dyDescent="0.25">
      <c r="A1571" s="7" t="s">
        <v>8970</v>
      </c>
      <c r="B1571" s="8" t="s">
        <v>8971</v>
      </c>
      <c r="C1571" s="8" t="s">
        <v>5086</v>
      </c>
      <c r="D1571" s="8" t="str">
        <f>"9783658364113"</f>
        <v>9783658364113</v>
      </c>
    </row>
    <row r="1572" spans="1:4" ht="45" x14ac:dyDescent="0.25">
      <c r="A1572" s="7" t="s">
        <v>1170</v>
      </c>
      <c r="B1572" s="8" t="s">
        <v>1171</v>
      </c>
      <c r="C1572" s="8" t="s">
        <v>316</v>
      </c>
      <c r="D1572" s="8" t="str">
        <f>"9783110892314"</f>
        <v>9783110892314</v>
      </c>
    </row>
    <row r="1573" spans="1:4" ht="30" x14ac:dyDescent="0.25">
      <c r="A1573" s="7" t="s">
        <v>13312</v>
      </c>
      <c r="B1573" s="8" t="s">
        <v>13313</v>
      </c>
      <c r="C1573" s="8" t="s">
        <v>12712</v>
      </c>
      <c r="D1573" s="8" t="str">
        <f>"9783428574698"</f>
        <v>9783428574698</v>
      </c>
    </row>
    <row r="1574" spans="1:4" x14ac:dyDescent="0.25">
      <c r="A1574" s="7" t="s">
        <v>11939</v>
      </c>
      <c r="B1574" s="8" t="s">
        <v>11940</v>
      </c>
      <c r="C1574" s="8" t="s">
        <v>355</v>
      </c>
      <c r="D1574" s="8" t="str">
        <f>"9783110616194"</f>
        <v>9783110616194</v>
      </c>
    </row>
    <row r="1575" spans="1:4" ht="30" x14ac:dyDescent="0.25">
      <c r="A1575" s="7" t="s">
        <v>2212</v>
      </c>
      <c r="B1575" s="8" t="s">
        <v>1210</v>
      </c>
      <c r="C1575" s="8" t="s">
        <v>355</v>
      </c>
      <c r="D1575" s="8" t="str">
        <f>"9783486845686"</f>
        <v>9783486845686</v>
      </c>
    </row>
    <row r="1576" spans="1:4" ht="45" x14ac:dyDescent="0.25">
      <c r="A1576" s="7" t="s">
        <v>13369</v>
      </c>
      <c r="B1576" s="8" t="s">
        <v>192</v>
      </c>
      <c r="C1576" s="8" t="s">
        <v>12712</v>
      </c>
      <c r="D1576" s="8" t="str">
        <f>"9783428575336"</f>
        <v>9783428575336</v>
      </c>
    </row>
    <row r="1577" spans="1:4" ht="45" x14ac:dyDescent="0.25">
      <c r="A1577" s="7" t="s">
        <v>11912</v>
      </c>
      <c r="B1577" s="8" t="s">
        <v>11913</v>
      </c>
      <c r="C1577" s="8" t="s">
        <v>355</v>
      </c>
      <c r="D1577" s="8" t="str">
        <f>"9783110906639"</f>
        <v>9783110906639</v>
      </c>
    </row>
    <row r="1578" spans="1:4" x14ac:dyDescent="0.25">
      <c r="A1578" s="7" t="s">
        <v>7744</v>
      </c>
      <c r="B1578" s="8" t="s">
        <v>7745</v>
      </c>
      <c r="C1578" s="8" t="s">
        <v>993</v>
      </c>
      <c r="D1578" s="8" t="str">
        <f>"9783839432785"</f>
        <v>9783839432785</v>
      </c>
    </row>
    <row r="1579" spans="1:4" x14ac:dyDescent="0.25">
      <c r="A1579" s="7" t="s">
        <v>12817</v>
      </c>
      <c r="B1579" s="8" t="s">
        <v>12818</v>
      </c>
      <c r="C1579" s="8" t="s">
        <v>12712</v>
      </c>
      <c r="D1579" s="8" t="str">
        <f>"9783428428441"</f>
        <v>9783428428441</v>
      </c>
    </row>
    <row r="1580" spans="1:4" ht="30" x14ac:dyDescent="0.25">
      <c r="A1580" s="7" t="s">
        <v>553</v>
      </c>
      <c r="B1580" s="8" t="s">
        <v>554</v>
      </c>
      <c r="C1580" s="8" t="s">
        <v>316</v>
      </c>
      <c r="D1580" s="8" t="str">
        <f>"9783110319798"</f>
        <v>9783110319798</v>
      </c>
    </row>
    <row r="1581" spans="1:4" ht="60" x14ac:dyDescent="0.25">
      <c r="A1581" s="7" t="s">
        <v>13094</v>
      </c>
      <c r="B1581" s="8" t="s">
        <v>13095</v>
      </c>
      <c r="C1581" s="8" t="s">
        <v>12712</v>
      </c>
      <c r="D1581" s="8" t="str">
        <f>"9783428572670"</f>
        <v>9783428572670</v>
      </c>
    </row>
    <row r="1582" spans="1:4" ht="60" x14ac:dyDescent="0.25">
      <c r="A1582" s="7" t="s">
        <v>13100</v>
      </c>
      <c r="B1582" s="8" t="s">
        <v>13095</v>
      </c>
      <c r="C1582" s="8" t="s">
        <v>12712</v>
      </c>
      <c r="D1582" s="8" t="str">
        <f>"9783428572724"</f>
        <v>9783428572724</v>
      </c>
    </row>
    <row r="1583" spans="1:4" x14ac:dyDescent="0.25">
      <c r="A1583" s="7" t="s">
        <v>9133</v>
      </c>
      <c r="B1583" s="8" t="s">
        <v>9134</v>
      </c>
      <c r="C1583" s="8" t="s">
        <v>7011</v>
      </c>
      <c r="D1583" s="8" t="str">
        <f>"9783422981010"</f>
        <v>9783422981010</v>
      </c>
    </row>
    <row r="1584" spans="1:4" x14ac:dyDescent="0.25">
      <c r="A1584" s="7" t="s">
        <v>7578</v>
      </c>
      <c r="B1584" s="8" t="s">
        <v>7579</v>
      </c>
      <c r="C1584" s="8" t="s">
        <v>993</v>
      </c>
      <c r="D1584" s="8" t="str">
        <f>"9783839416266"</f>
        <v>9783839416266</v>
      </c>
    </row>
    <row r="1585" spans="1:4" x14ac:dyDescent="0.25">
      <c r="A1585" s="7" t="s">
        <v>9505</v>
      </c>
      <c r="B1585" s="8" t="s">
        <v>9506</v>
      </c>
      <c r="C1585" s="8" t="s">
        <v>5942</v>
      </c>
      <c r="D1585" s="8" t="str">
        <f>"9783662640845"</f>
        <v>9783662640845</v>
      </c>
    </row>
    <row r="1586" spans="1:4" ht="30" x14ac:dyDescent="0.25">
      <c r="A1586" s="7" t="s">
        <v>10019</v>
      </c>
      <c r="B1586" s="8" t="s">
        <v>10020</v>
      </c>
      <c r="C1586" s="8" t="s">
        <v>993</v>
      </c>
      <c r="D1586" s="8" t="str">
        <f>"9783839410400"</f>
        <v>9783839410400</v>
      </c>
    </row>
    <row r="1587" spans="1:4" x14ac:dyDescent="0.25">
      <c r="A1587" s="7" t="s">
        <v>10386</v>
      </c>
      <c r="B1587" s="8" t="s">
        <v>10387</v>
      </c>
      <c r="C1587" s="8" t="s">
        <v>993</v>
      </c>
      <c r="D1587" s="8" t="str">
        <f>"9783839454237"</f>
        <v>9783839454237</v>
      </c>
    </row>
    <row r="1588" spans="1:4" ht="30" x14ac:dyDescent="0.25">
      <c r="A1588" s="7" t="s">
        <v>9904</v>
      </c>
      <c r="B1588" s="8" t="s">
        <v>9905</v>
      </c>
      <c r="C1588" s="8" t="s">
        <v>993</v>
      </c>
      <c r="D1588" s="8" t="str">
        <f>"9783839407745"</f>
        <v>9783839407745</v>
      </c>
    </row>
    <row r="1589" spans="1:4" ht="30" x14ac:dyDescent="0.25">
      <c r="A1589" s="7" t="s">
        <v>4306</v>
      </c>
      <c r="B1589" s="8" t="s">
        <v>4307</v>
      </c>
      <c r="C1589" s="8" t="s">
        <v>1345</v>
      </c>
      <c r="D1589" s="8" t="str">
        <f>"9783737605717"</f>
        <v>9783737605717</v>
      </c>
    </row>
    <row r="1590" spans="1:4" ht="30" x14ac:dyDescent="0.25">
      <c r="A1590" s="7" t="s">
        <v>11571</v>
      </c>
      <c r="B1590" s="8" t="s">
        <v>11572</v>
      </c>
      <c r="C1590" s="8" t="s">
        <v>355</v>
      </c>
      <c r="D1590" s="8" t="str">
        <f>"9783110756432"</f>
        <v>9783110756432</v>
      </c>
    </row>
    <row r="1591" spans="1:4" ht="45" x14ac:dyDescent="0.25">
      <c r="A1591" s="7" t="s">
        <v>1072</v>
      </c>
      <c r="B1591" s="8" t="s">
        <v>1073</v>
      </c>
      <c r="C1591" s="8" t="s">
        <v>316</v>
      </c>
      <c r="D1591" s="8" t="str">
        <f>"9783110903263"</f>
        <v>9783110903263</v>
      </c>
    </row>
    <row r="1592" spans="1:4" ht="30" x14ac:dyDescent="0.25">
      <c r="A1592" s="7" t="s">
        <v>13087</v>
      </c>
      <c r="B1592" s="8" t="s">
        <v>13072</v>
      </c>
      <c r="C1592" s="8" t="s">
        <v>12712</v>
      </c>
      <c r="D1592" s="8" t="str">
        <f>"9783428572625"</f>
        <v>9783428572625</v>
      </c>
    </row>
    <row r="1593" spans="1:4" ht="60" x14ac:dyDescent="0.25">
      <c r="A1593" s="7" t="s">
        <v>1111</v>
      </c>
      <c r="B1593" s="8" t="s">
        <v>1112</v>
      </c>
      <c r="C1593" s="8" t="s">
        <v>316</v>
      </c>
      <c r="D1593" s="8" t="str">
        <f>"9783110907605"</f>
        <v>9783110907605</v>
      </c>
    </row>
    <row r="1594" spans="1:4" ht="45" x14ac:dyDescent="0.25">
      <c r="A1594" s="7" t="s">
        <v>1167</v>
      </c>
      <c r="B1594" s="8" t="s">
        <v>32</v>
      </c>
      <c r="C1594" s="8" t="s">
        <v>316</v>
      </c>
      <c r="D1594" s="8" t="str">
        <f>"9783110882957"</f>
        <v>9783110882957</v>
      </c>
    </row>
    <row r="1595" spans="1:4" x14ac:dyDescent="0.25">
      <c r="A1595" s="7" t="s">
        <v>12828</v>
      </c>
      <c r="B1595" s="8" t="s">
        <v>12772</v>
      </c>
      <c r="C1595" s="8" t="s">
        <v>12712</v>
      </c>
      <c r="D1595" s="8" t="str">
        <f>"9783428430994"</f>
        <v>9783428430994</v>
      </c>
    </row>
    <row r="1596" spans="1:4" x14ac:dyDescent="0.25">
      <c r="A1596" s="7" t="s">
        <v>12906</v>
      </c>
      <c r="B1596" s="8" t="s">
        <v>12772</v>
      </c>
      <c r="C1596" s="8" t="s">
        <v>12712</v>
      </c>
      <c r="D1596" s="8" t="str">
        <f>"9783428447589"</f>
        <v>9783428447589</v>
      </c>
    </row>
    <row r="1597" spans="1:4" ht="30" x14ac:dyDescent="0.25">
      <c r="A1597" s="7" t="s">
        <v>7718</v>
      </c>
      <c r="B1597" s="8" t="s">
        <v>7719</v>
      </c>
      <c r="C1597" s="8" t="s">
        <v>993</v>
      </c>
      <c r="D1597" s="8" t="str">
        <f>"9783839432334"</f>
        <v>9783839432334</v>
      </c>
    </row>
    <row r="1598" spans="1:4" x14ac:dyDescent="0.25">
      <c r="A1598" s="7" t="s">
        <v>7024</v>
      </c>
      <c r="B1598" s="8" t="s">
        <v>7025</v>
      </c>
      <c r="C1598" s="8" t="s">
        <v>355</v>
      </c>
      <c r="D1598" s="8" t="str">
        <f>"9783110662955"</f>
        <v>9783110662955</v>
      </c>
    </row>
    <row r="1599" spans="1:4" ht="30" x14ac:dyDescent="0.25">
      <c r="A1599" s="7" t="s">
        <v>1473</v>
      </c>
      <c r="B1599" s="8" t="s">
        <v>1474</v>
      </c>
      <c r="C1599" s="8" t="s">
        <v>1345</v>
      </c>
      <c r="D1599" s="8" t="str">
        <f>"9783862193530"</f>
        <v>9783862193530</v>
      </c>
    </row>
    <row r="1600" spans="1:4" ht="30" x14ac:dyDescent="0.25">
      <c r="A1600" s="7" t="s">
        <v>2945</v>
      </c>
      <c r="B1600" s="8" t="s">
        <v>2946</v>
      </c>
      <c r="C1600" s="8" t="s">
        <v>1345</v>
      </c>
      <c r="D1600" s="8" t="str">
        <f>"9783737602174"</f>
        <v>9783737602174</v>
      </c>
    </row>
    <row r="1601" spans="1:4" x14ac:dyDescent="0.25">
      <c r="A1601" s="7" t="s">
        <v>8503</v>
      </c>
      <c r="B1601" s="8" t="s">
        <v>8504</v>
      </c>
      <c r="C1601" s="8" t="s">
        <v>993</v>
      </c>
      <c r="D1601" s="8" t="str">
        <f>"9783839450093"</f>
        <v>9783839450093</v>
      </c>
    </row>
    <row r="1602" spans="1:4" ht="30" x14ac:dyDescent="0.25">
      <c r="A1602" s="7" t="s">
        <v>6571</v>
      </c>
      <c r="B1602" s="8" t="s">
        <v>6572</v>
      </c>
      <c r="C1602" s="8" t="s">
        <v>5086</v>
      </c>
      <c r="D1602" s="8" t="str">
        <f>"9783658329068"</f>
        <v>9783658329068</v>
      </c>
    </row>
    <row r="1603" spans="1:4" ht="60" x14ac:dyDescent="0.25">
      <c r="A1603" s="7" t="s">
        <v>13367</v>
      </c>
      <c r="B1603" s="8" t="s">
        <v>13327</v>
      </c>
      <c r="C1603" s="8" t="s">
        <v>12712</v>
      </c>
      <c r="D1603" s="8" t="str">
        <f>"9783428575312"</f>
        <v>9783428575312</v>
      </c>
    </row>
    <row r="1604" spans="1:4" ht="30" x14ac:dyDescent="0.25">
      <c r="A1604" s="7" t="s">
        <v>13368</v>
      </c>
      <c r="B1604" s="8" t="s">
        <v>13327</v>
      </c>
      <c r="C1604" s="8" t="s">
        <v>12712</v>
      </c>
      <c r="D1604" s="8" t="str">
        <f>"9783428575329"</f>
        <v>9783428575329</v>
      </c>
    </row>
    <row r="1605" spans="1:4" ht="30" x14ac:dyDescent="0.25">
      <c r="A1605" s="7" t="s">
        <v>13366</v>
      </c>
      <c r="B1605" s="8" t="s">
        <v>13327</v>
      </c>
      <c r="C1605" s="8" t="s">
        <v>12712</v>
      </c>
      <c r="D1605" s="8" t="str">
        <f>"9783428575305"</f>
        <v>9783428575305</v>
      </c>
    </row>
    <row r="1606" spans="1:4" x14ac:dyDescent="0.25">
      <c r="A1606" s="7" t="s">
        <v>12320</v>
      </c>
      <c r="B1606" s="8" t="s">
        <v>12321</v>
      </c>
      <c r="C1606" s="8" t="s">
        <v>993</v>
      </c>
      <c r="D1606" s="8" t="str">
        <f>"9783839461259"</f>
        <v>9783839461259</v>
      </c>
    </row>
    <row r="1607" spans="1:4" ht="30" x14ac:dyDescent="0.25">
      <c r="A1607" s="7" t="s">
        <v>13737</v>
      </c>
      <c r="B1607" s="8" t="s">
        <v>13738</v>
      </c>
      <c r="C1607" s="8" t="s">
        <v>993</v>
      </c>
      <c r="D1607" s="8" t="str">
        <f>"9783839465257"</f>
        <v>9783839465257</v>
      </c>
    </row>
    <row r="1608" spans="1:4" ht="60" x14ac:dyDescent="0.25">
      <c r="A1608" s="7" t="s">
        <v>10070</v>
      </c>
      <c r="B1608" s="8" t="s">
        <v>10071</v>
      </c>
      <c r="C1608" s="8" t="s">
        <v>993</v>
      </c>
      <c r="D1608" s="8" t="str">
        <f>"9783839428986"</f>
        <v>9783839428986</v>
      </c>
    </row>
    <row r="1609" spans="1:4" ht="30" x14ac:dyDescent="0.25">
      <c r="A1609" s="7" t="s">
        <v>10367</v>
      </c>
      <c r="B1609" s="8" t="s">
        <v>10368</v>
      </c>
      <c r="C1609" s="8" t="s">
        <v>993</v>
      </c>
      <c r="D1609" s="8" t="str">
        <f>"9783839452769"</f>
        <v>9783839452769</v>
      </c>
    </row>
    <row r="1610" spans="1:4" ht="60" x14ac:dyDescent="0.25">
      <c r="A1610" s="7" t="s">
        <v>11710</v>
      </c>
      <c r="B1610" s="8" t="s">
        <v>11711</v>
      </c>
      <c r="C1610" s="8" t="s">
        <v>355</v>
      </c>
      <c r="D1610" s="8" t="str">
        <f>"9783111483801"</f>
        <v>9783111483801</v>
      </c>
    </row>
    <row r="1611" spans="1:4" ht="90" x14ac:dyDescent="0.25">
      <c r="A1611" s="7" t="s">
        <v>13250</v>
      </c>
      <c r="B1611" s="8" t="s">
        <v>13251</v>
      </c>
      <c r="C1611" s="8" t="s">
        <v>12712</v>
      </c>
      <c r="D1611" s="8" t="str">
        <f>"9783428574179"</f>
        <v>9783428574179</v>
      </c>
    </row>
    <row r="1612" spans="1:4" x14ac:dyDescent="0.25">
      <c r="A1612" s="7" t="s">
        <v>12092</v>
      </c>
      <c r="B1612" s="8" t="s">
        <v>12093</v>
      </c>
      <c r="C1612" s="8" t="s">
        <v>355</v>
      </c>
      <c r="D1612" s="8" t="str">
        <f>"9783110770506"</f>
        <v>9783110770506</v>
      </c>
    </row>
    <row r="1613" spans="1:4" ht="30" x14ac:dyDescent="0.25">
      <c r="A1613" s="7" t="s">
        <v>11277</v>
      </c>
      <c r="B1613" s="8" t="s">
        <v>11278</v>
      </c>
      <c r="C1613" s="8" t="s">
        <v>355</v>
      </c>
      <c r="D1613" s="8" t="str">
        <f>"9783110687040"</f>
        <v>9783110687040</v>
      </c>
    </row>
    <row r="1614" spans="1:4" x14ac:dyDescent="0.25">
      <c r="A1614" s="7" t="s">
        <v>7757</v>
      </c>
      <c r="B1614" s="8" t="s">
        <v>7758</v>
      </c>
      <c r="C1614" s="8" t="s">
        <v>993</v>
      </c>
      <c r="D1614" s="8" t="str">
        <f>"9783839434710"</f>
        <v>9783839434710</v>
      </c>
    </row>
    <row r="1615" spans="1:4" x14ac:dyDescent="0.25">
      <c r="A1615" s="7" t="s">
        <v>7775</v>
      </c>
      <c r="B1615" s="8" t="s">
        <v>7776</v>
      </c>
      <c r="C1615" s="8" t="s">
        <v>993</v>
      </c>
      <c r="D1615" s="8" t="str">
        <f>"9783839408520"</f>
        <v>9783839408520</v>
      </c>
    </row>
    <row r="1616" spans="1:4" ht="45" x14ac:dyDescent="0.25">
      <c r="A1616" s="7" t="s">
        <v>13377</v>
      </c>
      <c r="B1616" s="8" t="s">
        <v>13378</v>
      </c>
      <c r="C1616" s="8" t="s">
        <v>12712</v>
      </c>
      <c r="D1616" s="8" t="str">
        <f>"9783428581078"</f>
        <v>9783428581078</v>
      </c>
    </row>
    <row r="1617" spans="1:4" ht="30" x14ac:dyDescent="0.25">
      <c r="A1617" s="7" t="s">
        <v>2328</v>
      </c>
      <c r="B1617" s="8" t="s">
        <v>177</v>
      </c>
      <c r="C1617" s="8" t="s">
        <v>316</v>
      </c>
      <c r="D1617" s="8" t="str">
        <f>"9783110411362"</f>
        <v>9783110411362</v>
      </c>
    </row>
    <row r="1618" spans="1:4" x14ac:dyDescent="0.25">
      <c r="A1618" s="7" t="s">
        <v>9868</v>
      </c>
      <c r="B1618" s="8" t="s">
        <v>9869</v>
      </c>
      <c r="C1618" s="8" t="s">
        <v>993</v>
      </c>
      <c r="D1618" s="8" t="str">
        <f>"9783839406939"</f>
        <v>9783839406939</v>
      </c>
    </row>
    <row r="1619" spans="1:4" ht="30" x14ac:dyDescent="0.25">
      <c r="A1619" s="7" t="s">
        <v>6520</v>
      </c>
      <c r="B1619" s="8" t="s">
        <v>6521</v>
      </c>
      <c r="C1619" s="8" t="s">
        <v>5086</v>
      </c>
      <c r="D1619" s="8" t="str">
        <f>"9783658330194"</f>
        <v>9783658330194</v>
      </c>
    </row>
    <row r="1620" spans="1:4" ht="60" x14ac:dyDescent="0.25">
      <c r="A1620" s="7" t="s">
        <v>13331</v>
      </c>
      <c r="B1620" s="8" t="s">
        <v>188</v>
      </c>
      <c r="C1620" s="8" t="s">
        <v>12712</v>
      </c>
      <c r="D1620" s="8" t="str">
        <f>"9783428574902"</f>
        <v>9783428574902</v>
      </c>
    </row>
    <row r="1621" spans="1:4" ht="60" x14ac:dyDescent="0.25">
      <c r="A1621" s="7" t="s">
        <v>1089</v>
      </c>
      <c r="B1621" s="8" t="s">
        <v>1090</v>
      </c>
      <c r="C1621" s="8" t="s">
        <v>316</v>
      </c>
      <c r="D1621" s="8" t="str">
        <f>"9783110902631"</f>
        <v>9783110902631</v>
      </c>
    </row>
    <row r="1622" spans="1:4" ht="60" x14ac:dyDescent="0.25">
      <c r="A1622" s="7" t="s">
        <v>1161</v>
      </c>
      <c r="B1622" s="8" t="s">
        <v>1162</v>
      </c>
      <c r="C1622" s="8" t="s">
        <v>316</v>
      </c>
      <c r="D1622" s="8" t="str">
        <f>"9783110869996"</f>
        <v>9783110869996</v>
      </c>
    </row>
    <row r="1623" spans="1:4" x14ac:dyDescent="0.25">
      <c r="A1623" s="7" t="s">
        <v>13045</v>
      </c>
      <c r="B1623" s="8" t="s">
        <v>13046</v>
      </c>
      <c r="C1623" s="8" t="s">
        <v>12712</v>
      </c>
      <c r="D1623" s="8" t="str">
        <f>"9783428502608"</f>
        <v>9783428502608</v>
      </c>
    </row>
    <row r="1624" spans="1:4" ht="30" x14ac:dyDescent="0.25">
      <c r="A1624" s="7" t="s">
        <v>10587</v>
      </c>
      <c r="B1624" s="8" t="s">
        <v>10588</v>
      </c>
      <c r="C1624" s="8" t="s">
        <v>993</v>
      </c>
      <c r="D1624" s="8" t="str">
        <f>"9783839460832"</f>
        <v>9783839460832</v>
      </c>
    </row>
    <row r="1625" spans="1:4" ht="30" x14ac:dyDescent="0.25">
      <c r="A1625" s="7" t="s">
        <v>14296</v>
      </c>
      <c r="B1625" s="8" t="s">
        <v>14297</v>
      </c>
      <c r="C1625" s="8" t="s">
        <v>5086</v>
      </c>
      <c r="D1625" s="8" t="str">
        <f>"9783658403461"</f>
        <v>9783658403461</v>
      </c>
    </row>
    <row r="1626" spans="1:4" ht="30" x14ac:dyDescent="0.25">
      <c r="A1626" s="7" t="s">
        <v>11920</v>
      </c>
      <c r="B1626" s="8" t="s">
        <v>11921</v>
      </c>
      <c r="C1626" s="8" t="s">
        <v>355</v>
      </c>
      <c r="D1626" s="8" t="str">
        <f>"9783111526713"</f>
        <v>9783111526713</v>
      </c>
    </row>
    <row r="1627" spans="1:4" x14ac:dyDescent="0.25">
      <c r="A1627" s="7" t="s">
        <v>11663</v>
      </c>
      <c r="B1627" s="8" t="s">
        <v>11664</v>
      </c>
      <c r="C1627" s="8" t="s">
        <v>355</v>
      </c>
      <c r="D1627" s="8" t="str">
        <f>"9783486776270"</f>
        <v>9783486776270</v>
      </c>
    </row>
    <row r="1628" spans="1:4" x14ac:dyDescent="0.25">
      <c r="A1628" s="7" t="s">
        <v>11846</v>
      </c>
      <c r="B1628" s="8" t="s">
        <v>11847</v>
      </c>
      <c r="C1628" s="8" t="s">
        <v>355</v>
      </c>
      <c r="D1628" s="8" t="str">
        <f>"9783486594201"</f>
        <v>9783486594201</v>
      </c>
    </row>
    <row r="1629" spans="1:4" x14ac:dyDescent="0.25">
      <c r="A1629" s="7" t="s">
        <v>8477</v>
      </c>
      <c r="B1629" s="8" t="s">
        <v>8478</v>
      </c>
      <c r="C1629" s="8" t="s">
        <v>993</v>
      </c>
      <c r="D1629" s="8" t="str">
        <f>"9783839456033"</f>
        <v>9783839456033</v>
      </c>
    </row>
    <row r="1630" spans="1:4" ht="30" x14ac:dyDescent="0.25">
      <c r="A1630" s="7" t="s">
        <v>7616</v>
      </c>
      <c r="B1630" s="8" t="s">
        <v>7617</v>
      </c>
      <c r="C1630" s="8" t="s">
        <v>993</v>
      </c>
      <c r="D1630" s="8" t="str">
        <f>"9783839417706"</f>
        <v>9783839417706</v>
      </c>
    </row>
    <row r="1631" spans="1:4" x14ac:dyDescent="0.25">
      <c r="A1631" s="7" t="s">
        <v>11494</v>
      </c>
      <c r="B1631" s="8" t="s">
        <v>11495</v>
      </c>
      <c r="C1631" s="8" t="s">
        <v>355</v>
      </c>
      <c r="D1631" s="8" t="str">
        <f>"9783486762013"</f>
        <v>9783486762013</v>
      </c>
    </row>
    <row r="1632" spans="1:4" x14ac:dyDescent="0.25">
      <c r="A1632" s="7" t="s">
        <v>775</v>
      </c>
      <c r="B1632" s="8" t="s">
        <v>776</v>
      </c>
      <c r="C1632" s="8" t="s">
        <v>316</v>
      </c>
      <c r="D1632" s="8" t="str">
        <f>"9783110337594"</f>
        <v>9783110337594</v>
      </c>
    </row>
    <row r="1633" spans="1:4" ht="30" x14ac:dyDescent="0.25">
      <c r="A1633" s="7" t="s">
        <v>3624</v>
      </c>
      <c r="B1633" s="8" t="s">
        <v>3625</v>
      </c>
      <c r="C1633" s="8" t="s">
        <v>1345</v>
      </c>
      <c r="D1633" s="8" t="str">
        <f>"9783737603874"</f>
        <v>9783737603874</v>
      </c>
    </row>
    <row r="1634" spans="1:4" ht="30" x14ac:dyDescent="0.25">
      <c r="A1634" s="7" t="s">
        <v>13365</v>
      </c>
      <c r="B1634" s="8" t="s">
        <v>13335</v>
      </c>
      <c r="C1634" s="8" t="s">
        <v>12712</v>
      </c>
      <c r="D1634" s="8" t="str">
        <f>"9783428575299"</f>
        <v>9783428575299</v>
      </c>
    </row>
    <row r="1635" spans="1:4" x14ac:dyDescent="0.25">
      <c r="A1635" s="7" t="s">
        <v>10043</v>
      </c>
      <c r="B1635" s="8" t="s">
        <v>10044</v>
      </c>
      <c r="C1635" s="8" t="s">
        <v>993</v>
      </c>
      <c r="D1635" s="8" t="str">
        <f>"9783839411773"</f>
        <v>9783839411773</v>
      </c>
    </row>
    <row r="1636" spans="1:4" x14ac:dyDescent="0.25">
      <c r="A1636" s="7" t="s">
        <v>10459</v>
      </c>
      <c r="B1636" s="8" t="s">
        <v>10460</v>
      </c>
      <c r="C1636" s="8" t="s">
        <v>993</v>
      </c>
      <c r="D1636" s="8" t="str">
        <f>"9783839457153"</f>
        <v>9783839457153</v>
      </c>
    </row>
    <row r="1637" spans="1:4" x14ac:dyDescent="0.25">
      <c r="A1637" s="7" t="s">
        <v>2568</v>
      </c>
      <c r="B1637" s="8" t="s">
        <v>2569</v>
      </c>
      <c r="C1637" s="8" t="s">
        <v>355</v>
      </c>
      <c r="D1637" s="8" t="str">
        <f>"9783110311198"</f>
        <v>9783110311198</v>
      </c>
    </row>
    <row r="1638" spans="1:4" ht="30" x14ac:dyDescent="0.25">
      <c r="A1638" s="7" t="s">
        <v>7482</v>
      </c>
      <c r="B1638" s="8" t="s">
        <v>7483</v>
      </c>
      <c r="C1638" s="8" t="s">
        <v>993</v>
      </c>
      <c r="D1638" s="8" t="str">
        <f>"9783839434598"</f>
        <v>9783839434598</v>
      </c>
    </row>
    <row r="1639" spans="1:4" ht="30" x14ac:dyDescent="0.25">
      <c r="A1639" s="7" t="s">
        <v>11653</v>
      </c>
      <c r="B1639" s="8" t="s">
        <v>11654</v>
      </c>
      <c r="C1639" s="8" t="s">
        <v>355</v>
      </c>
      <c r="D1639" s="8" t="str">
        <f>"9783110727630"</f>
        <v>9783110727630</v>
      </c>
    </row>
    <row r="1640" spans="1:4" ht="45" x14ac:dyDescent="0.25">
      <c r="A1640" s="7" t="s">
        <v>1143</v>
      </c>
      <c r="B1640" s="8" t="s">
        <v>1144</v>
      </c>
      <c r="C1640" s="8" t="s">
        <v>316</v>
      </c>
      <c r="D1640" s="8" t="str">
        <f>"9783110875980"</f>
        <v>9783110875980</v>
      </c>
    </row>
    <row r="1641" spans="1:4" ht="30" x14ac:dyDescent="0.25">
      <c r="A1641" s="7" t="s">
        <v>4131</v>
      </c>
      <c r="B1641" s="8" t="s">
        <v>4132</v>
      </c>
      <c r="C1641" s="8" t="s">
        <v>355</v>
      </c>
      <c r="D1641" s="8" t="str">
        <f>"9783110534849"</f>
        <v>9783110534849</v>
      </c>
    </row>
    <row r="1642" spans="1:4" ht="30" x14ac:dyDescent="0.25">
      <c r="A1642" s="7" t="s">
        <v>4591</v>
      </c>
      <c r="B1642" s="8" t="s">
        <v>4592</v>
      </c>
      <c r="C1642" s="8" t="s">
        <v>1345</v>
      </c>
      <c r="D1642" s="8" t="str">
        <f>"9783737607339"</f>
        <v>9783737607339</v>
      </c>
    </row>
    <row r="1643" spans="1:4" ht="30" x14ac:dyDescent="0.25">
      <c r="A1643" s="7" t="s">
        <v>11205</v>
      </c>
      <c r="B1643" s="8" t="s">
        <v>11206</v>
      </c>
      <c r="C1643" s="8" t="s">
        <v>355</v>
      </c>
      <c r="D1643" s="8" t="str">
        <f>"9783111572840"</f>
        <v>9783111572840</v>
      </c>
    </row>
    <row r="1644" spans="1:4" x14ac:dyDescent="0.25">
      <c r="A1644" s="7" t="s">
        <v>11298</v>
      </c>
      <c r="B1644" s="8" t="s">
        <v>11299</v>
      </c>
      <c r="C1644" s="8" t="s">
        <v>355</v>
      </c>
      <c r="D1644" s="8" t="str">
        <f>"9783486754346"</f>
        <v>9783486754346</v>
      </c>
    </row>
    <row r="1645" spans="1:4" ht="30" x14ac:dyDescent="0.25">
      <c r="A1645" s="7" t="s">
        <v>1483</v>
      </c>
      <c r="B1645" s="8" t="s">
        <v>1484</v>
      </c>
      <c r="C1645" s="8" t="s">
        <v>1345</v>
      </c>
      <c r="D1645" s="8" t="str">
        <f>"9783862194254"</f>
        <v>9783862194254</v>
      </c>
    </row>
    <row r="1646" spans="1:4" ht="30" x14ac:dyDescent="0.25">
      <c r="A1646" s="7" t="s">
        <v>9878</v>
      </c>
      <c r="B1646" s="8" t="s">
        <v>9879</v>
      </c>
      <c r="C1646" s="8" t="s">
        <v>993</v>
      </c>
      <c r="D1646" s="8" t="str">
        <f>"9783839407158"</f>
        <v>9783839407158</v>
      </c>
    </row>
    <row r="1647" spans="1:4" ht="30" x14ac:dyDescent="0.25">
      <c r="A1647" s="7" t="s">
        <v>7702</v>
      </c>
      <c r="B1647" s="8" t="s">
        <v>7703</v>
      </c>
      <c r="C1647" s="8" t="s">
        <v>993</v>
      </c>
      <c r="D1647" s="8" t="str">
        <f>"9783839429587"</f>
        <v>9783839429587</v>
      </c>
    </row>
    <row r="1648" spans="1:4" ht="30" x14ac:dyDescent="0.25">
      <c r="A1648" s="7" t="s">
        <v>7395</v>
      </c>
      <c r="B1648" s="8" t="s">
        <v>7396</v>
      </c>
      <c r="C1648" s="8" t="s">
        <v>993</v>
      </c>
      <c r="D1648" s="8" t="str">
        <f>"9783839438725"</f>
        <v>9783839438725</v>
      </c>
    </row>
    <row r="1649" spans="1:4" ht="30" x14ac:dyDescent="0.25">
      <c r="A1649" s="7" t="s">
        <v>13085</v>
      </c>
      <c r="B1649" s="8" t="s">
        <v>13072</v>
      </c>
      <c r="C1649" s="8" t="s">
        <v>12712</v>
      </c>
      <c r="D1649" s="8" t="str">
        <f>"9783428572601"</f>
        <v>9783428572601</v>
      </c>
    </row>
    <row r="1650" spans="1:4" ht="45" x14ac:dyDescent="0.25">
      <c r="A1650" s="7" t="s">
        <v>12764</v>
      </c>
      <c r="B1650" s="8" t="s">
        <v>12765</v>
      </c>
      <c r="C1650" s="8" t="s">
        <v>12712</v>
      </c>
      <c r="D1650" s="8" t="str">
        <f>"9783428415731"</f>
        <v>9783428415731</v>
      </c>
    </row>
    <row r="1651" spans="1:4" x14ac:dyDescent="0.25">
      <c r="A1651" s="7" t="s">
        <v>3314</v>
      </c>
      <c r="B1651" s="8" t="s">
        <v>3315</v>
      </c>
      <c r="C1651" s="8" t="s">
        <v>1345</v>
      </c>
      <c r="D1651" s="8" t="str">
        <f>"9783737603539"</f>
        <v>9783737603539</v>
      </c>
    </row>
    <row r="1652" spans="1:4" ht="30" x14ac:dyDescent="0.25">
      <c r="A1652" s="7" t="s">
        <v>9934</v>
      </c>
      <c r="B1652" s="8" t="s">
        <v>9935</v>
      </c>
      <c r="C1652" s="8" t="s">
        <v>993</v>
      </c>
      <c r="D1652" s="8" t="str">
        <f>"9783839408360"</f>
        <v>9783839408360</v>
      </c>
    </row>
    <row r="1653" spans="1:4" ht="30" x14ac:dyDescent="0.25">
      <c r="A1653" s="7" t="s">
        <v>7704</v>
      </c>
      <c r="B1653" s="8" t="s">
        <v>7705</v>
      </c>
      <c r="C1653" s="8" t="s">
        <v>993</v>
      </c>
      <c r="D1653" s="8" t="str">
        <f>"9783839429679"</f>
        <v>9783839429679</v>
      </c>
    </row>
    <row r="1654" spans="1:4" ht="30" x14ac:dyDescent="0.25">
      <c r="A1654" s="7" t="s">
        <v>703</v>
      </c>
      <c r="B1654" s="8" t="s">
        <v>704</v>
      </c>
      <c r="C1654" s="8" t="s">
        <v>316</v>
      </c>
      <c r="D1654" s="8" t="str">
        <f>"9783110322729"</f>
        <v>9783110322729</v>
      </c>
    </row>
    <row r="1655" spans="1:4" x14ac:dyDescent="0.25">
      <c r="A1655" s="7" t="s">
        <v>11356</v>
      </c>
      <c r="B1655" s="8" t="s">
        <v>11357</v>
      </c>
      <c r="C1655" s="8" t="s">
        <v>355</v>
      </c>
      <c r="D1655" s="8" t="str">
        <f>"9783111719962"</f>
        <v>9783111719962</v>
      </c>
    </row>
    <row r="1656" spans="1:4" x14ac:dyDescent="0.25">
      <c r="A1656" s="7" t="s">
        <v>8255</v>
      </c>
      <c r="B1656" s="8" t="s">
        <v>8256</v>
      </c>
      <c r="C1656" s="8" t="s">
        <v>993</v>
      </c>
      <c r="D1656" s="8" t="str">
        <f>"9783839453650"</f>
        <v>9783839453650</v>
      </c>
    </row>
    <row r="1657" spans="1:4" x14ac:dyDescent="0.25">
      <c r="A1657" s="7" t="s">
        <v>4768</v>
      </c>
      <c r="B1657" s="8" t="s">
        <v>4769</v>
      </c>
      <c r="C1657" s="8" t="s">
        <v>1865</v>
      </c>
      <c r="D1657" s="8" t="str">
        <f>"9789179299651"</f>
        <v>9789179299651</v>
      </c>
    </row>
    <row r="1658" spans="1:4" ht="30" x14ac:dyDescent="0.25">
      <c r="A1658" s="7" t="s">
        <v>10611</v>
      </c>
      <c r="B1658" s="8" t="s">
        <v>10612</v>
      </c>
      <c r="C1658" s="8" t="s">
        <v>2273</v>
      </c>
      <c r="D1658" s="8" t="str">
        <f>"9783030967093"</f>
        <v>9783030967093</v>
      </c>
    </row>
    <row r="1659" spans="1:4" x14ac:dyDescent="0.25">
      <c r="A1659" s="7" t="s">
        <v>13511</v>
      </c>
      <c r="B1659" s="8" t="s">
        <v>13437</v>
      </c>
      <c r="C1659" s="8" t="s">
        <v>2274</v>
      </c>
      <c r="D1659" s="8" t="str">
        <f>"9789811930294"</f>
        <v>9789811930294</v>
      </c>
    </row>
    <row r="1660" spans="1:4" x14ac:dyDescent="0.25">
      <c r="A1660" s="7" t="s">
        <v>13528</v>
      </c>
      <c r="B1660" s="8" t="s">
        <v>13529</v>
      </c>
      <c r="C1660" s="8" t="s">
        <v>2785</v>
      </c>
      <c r="D1660" s="8" t="str">
        <f>"9789811955549"</f>
        <v>9789811955549</v>
      </c>
    </row>
    <row r="1661" spans="1:4" x14ac:dyDescent="0.25">
      <c r="A1661" s="7" t="s">
        <v>7232</v>
      </c>
      <c r="B1661" s="8" t="s">
        <v>7233</v>
      </c>
      <c r="C1661" s="8" t="s">
        <v>355</v>
      </c>
      <c r="D1661" s="8" t="str">
        <f>"9783110697841"</f>
        <v>9783110697841</v>
      </c>
    </row>
    <row r="1662" spans="1:4" ht="30" x14ac:dyDescent="0.25">
      <c r="A1662" s="7" t="s">
        <v>5483</v>
      </c>
      <c r="B1662" s="8" t="s">
        <v>5485</v>
      </c>
      <c r="C1662" s="8" t="s">
        <v>5484</v>
      </c>
      <c r="D1662" s="8" t="str">
        <f>"9781484255742"</f>
        <v>9781484255742</v>
      </c>
    </row>
    <row r="1663" spans="1:4" ht="30" x14ac:dyDescent="0.25">
      <c r="A1663" s="7" t="s">
        <v>5413</v>
      </c>
      <c r="B1663" s="8" t="s">
        <v>5127</v>
      </c>
      <c r="C1663" s="8" t="s">
        <v>2273</v>
      </c>
      <c r="D1663" s="8" t="str">
        <f>"9783030546601"</f>
        <v>9783030546601</v>
      </c>
    </row>
    <row r="1664" spans="1:4" ht="30" x14ac:dyDescent="0.25">
      <c r="A1664" s="7" t="s">
        <v>13752</v>
      </c>
      <c r="B1664" s="8" t="s">
        <v>13753</v>
      </c>
      <c r="C1664" s="8" t="s">
        <v>2273</v>
      </c>
      <c r="D1664" s="8" t="str">
        <f>"9783031198939"</f>
        <v>9783031198939</v>
      </c>
    </row>
    <row r="1665" spans="1:4" x14ac:dyDescent="0.25">
      <c r="A1665" s="7" t="s">
        <v>7288</v>
      </c>
      <c r="B1665" s="8" t="s">
        <v>7289</v>
      </c>
      <c r="C1665" s="8" t="s">
        <v>2273</v>
      </c>
      <c r="D1665" s="8" t="str">
        <f>"9783030668914"</f>
        <v>9783030668914</v>
      </c>
    </row>
    <row r="1666" spans="1:4" ht="30" x14ac:dyDescent="0.25">
      <c r="A1666" s="7" t="s">
        <v>9627</v>
      </c>
      <c r="B1666" s="8" t="s">
        <v>9628</v>
      </c>
      <c r="C1666" s="8" t="s">
        <v>2273</v>
      </c>
      <c r="D1666" s="8" t="str">
        <f>"9783031013409"</f>
        <v>9783031013409</v>
      </c>
    </row>
    <row r="1667" spans="1:4" x14ac:dyDescent="0.25">
      <c r="A1667" s="7" t="s">
        <v>12667</v>
      </c>
      <c r="B1667" s="8" t="s">
        <v>73</v>
      </c>
      <c r="C1667" s="8" t="s">
        <v>2273</v>
      </c>
      <c r="D1667" s="8" t="str">
        <f>"9783030986360"</f>
        <v>9783030986360</v>
      </c>
    </row>
    <row r="1668" spans="1:4" x14ac:dyDescent="0.25">
      <c r="A1668" s="7" t="s">
        <v>6640</v>
      </c>
      <c r="B1668" s="8" t="s">
        <v>6641</v>
      </c>
      <c r="C1668" s="8" t="s">
        <v>2273</v>
      </c>
      <c r="D1668" s="8" t="str">
        <f>"9783030685973"</f>
        <v>9783030685973</v>
      </c>
    </row>
    <row r="1669" spans="1:4" x14ac:dyDescent="0.25">
      <c r="A1669" s="7" t="s">
        <v>7013</v>
      </c>
      <c r="B1669" s="8" t="s">
        <v>7014</v>
      </c>
      <c r="C1669" s="8" t="s">
        <v>329</v>
      </c>
      <c r="D1669" s="8" t="str">
        <f>"9789048543137"</f>
        <v>9789048543137</v>
      </c>
    </row>
    <row r="1670" spans="1:4" x14ac:dyDescent="0.25">
      <c r="A1670" s="7" t="s">
        <v>13509</v>
      </c>
      <c r="B1670" s="8" t="s">
        <v>13437</v>
      </c>
      <c r="C1670" s="8" t="s">
        <v>2274</v>
      </c>
      <c r="D1670" s="8" t="str">
        <f>"9789811930324"</f>
        <v>9789811930324</v>
      </c>
    </row>
    <row r="1671" spans="1:4" x14ac:dyDescent="0.25">
      <c r="A1671" s="7" t="s">
        <v>15766</v>
      </c>
      <c r="B1671" s="8" t="s">
        <v>15767</v>
      </c>
      <c r="C1671" s="8" t="s">
        <v>1865</v>
      </c>
      <c r="D1671" s="8" t="str">
        <f>"9789179295585"</f>
        <v>9789179295585</v>
      </c>
    </row>
    <row r="1672" spans="1:4" x14ac:dyDescent="0.25">
      <c r="A1672" s="7" t="s">
        <v>6939</v>
      </c>
      <c r="B1672" s="8" t="s">
        <v>6940</v>
      </c>
      <c r="C1672" s="8" t="s">
        <v>1865</v>
      </c>
      <c r="D1672" s="8" t="str">
        <f>"9789179296452"</f>
        <v>9789179296452</v>
      </c>
    </row>
    <row r="1673" spans="1:4" x14ac:dyDescent="0.25">
      <c r="A1673" s="7" t="s">
        <v>14610</v>
      </c>
      <c r="B1673" s="8" t="s">
        <v>14611</v>
      </c>
      <c r="C1673" s="8" t="s">
        <v>1865</v>
      </c>
      <c r="D1673" s="8" t="str">
        <f>"9789179293185"</f>
        <v>9789179293185</v>
      </c>
    </row>
    <row r="1674" spans="1:4" x14ac:dyDescent="0.25">
      <c r="A1674" s="7" t="s">
        <v>16261</v>
      </c>
      <c r="B1674" s="8" t="s">
        <v>10618</v>
      </c>
      <c r="C1674" s="8" t="s">
        <v>1865</v>
      </c>
      <c r="D1674" s="8" t="str">
        <f>"9789179299729"</f>
        <v>9789179299729</v>
      </c>
    </row>
    <row r="1675" spans="1:4" x14ac:dyDescent="0.25">
      <c r="A1675" s="7" t="s">
        <v>8956</v>
      </c>
      <c r="B1675" s="8" t="s">
        <v>8957</v>
      </c>
      <c r="C1675" s="8" t="s">
        <v>2274</v>
      </c>
      <c r="D1675" s="8" t="str">
        <f>"9789811680441"</f>
        <v>9789811680441</v>
      </c>
    </row>
    <row r="1676" spans="1:4" x14ac:dyDescent="0.25">
      <c r="A1676" s="7" t="s">
        <v>699</v>
      </c>
      <c r="B1676" s="8" t="s">
        <v>700</v>
      </c>
      <c r="C1676" s="8" t="s">
        <v>316</v>
      </c>
      <c r="D1676" s="8" t="str">
        <f>"9783110322644"</f>
        <v>9783110322644</v>
      </c>
    </row>
    <row r="1677" spans="1:4" ht="30" x14ac:dyDescent="0.25">
      <c r="A1677" s="7" t="s">
        <v>8113</v>
      </c>
      <c r="B1677" s="8" t="s">
        <v>8114</v>
      </c>
      <c r="C1677" s="8" t="s">
        <v>5134</v>
      </c>
      <c r="D1677" s="8" t="str">
        <f>"9783662629871"</f>
        <v>9783662629871</v>
      </c>
    </row>
    <row r="1678" spans="1:4" x14ac:dyDescent="0.25">
      <c r="A1678" s="7" t="s">
        <v>7338</v>
      </c>
      <c r="B1678" s="8" t="s">
        <v>7339</v>
      </c>
      <c r="C1678" s="8" t="s">
        <v>5086</v>
      </c>
      <c r="D1678" s="8" t="str">
        <f>"9783658337551"</f>
        <v>9783658337551</v>
      </c>
    </row>
    <row r="1679" spans="1:4" x14ac:dyDescent="0.25">
      <c r="A1679" s="7" t="s">
        <v>13540</v>
      </c>
      <c r="B1679" s="8" t="s">
        <v>13541</v>
      </c>
      <c r="C1679" s="8" t="s">
        <v>5134</v>
      </c>
      <c r="D1679" s="8" t="str">
        <f>"9783662652329"</f>
        <v>9783662652329</v>
      </c>
    </row>
    <row r="1680" spans="1:4" ht="30" x14ac:dyDescent="0.25">
      <c r="A1680" s="7" t="s">
        <v>14547</v>
      </c>
      <c r="B1680" s="8" t="s">
        <v>14548</v>
      </c>
      <c r="C1680" s="8" t="s">
        <v>1865</v>
      </c>
      <c r="D1680" s="8" t="str">
        <f>"9789179299088"</f>
        <v>9789179299088</v>
      </c>
    </row>
    <row r="1681" spans="1:4" x14ac:dyDescent="0.25">
      <c r="A1681" s="7" t="s">
        <v>9791</v>
      </c>
      <c r="B1681" s="8" t="s">
        <v>9760</v>
      </c>
      <c r="C1681" s="8" t="s">
        <v>993</v>
      </c>
      <c r="D1681" s="8" t="str">
        <f>"9783839404737"</f>
        <v>9783839404737</v>
      </c>
    </row>
    <row r="1682" spans="1:4" ht="60" x14ac:dyDescent="0.25">
      <c r="A1682" s="7" t="s">
        <v>2701</v>
      </c>
      <c r="B1682" s="8" t="s">
        <v>2702</v>
      </c>
      <c r="C1682" s="8" t="s">
        <v>1345</v>
      </c>
      <c r="D1682" s="8" t="str">
        <f>"9783737601498"</f>
        <v>9783737601498</v>
      </c>
    </row>
    <row r="1683" spans="1:4" x14ac:dyDescent="0.25">
      <c r="A1683" s="7" t="s">
        <v>7978</v>
      </c>
      <c r="B1683" s="8" t="s">
        <v>7979</v>
      </c>
      <c r="C1683" s="8" t="s">
        <v>1962</v>
      </c>
      <c r="D1683" s="8" t="str">
        <f>"9782738014344"</f>
        <v>9782738014344</v>
      </c>
    </row>
    <row r="1684" spans="1:4" ht="30" x14ac:dyDescent="0.25">
      <c r="A1684" s="7" t="s">
        <v>7070</v>
      </c>
      <c r="B1684" s="8" t="s">
        <v>66</v>
      </c>
      <c r="C1684" s="8" t="s">
        <v>355</v>
      </c>
      <c r="D1684" s="8" t="str">
        <f>"9783110622096"</f>
        <v>9783110622096</v>
      </c>
    </row>
    <row r="1685" spans="1:4" x14ac:dyDescent="0.25">
      <c r="A1685" s="7" t="s">
        <v>13471</v>
      </c>
      <c r="B1685" s="8" t="s">
        <v>13472</v>
      </c>
      <c r="C1685" s="8" t="s">
        <v>2785</v>
      </c>
      <c r="D1685" s="8" t="str">
        <f>"9780230552210"</f>
        <v>9780230552210</v>
      </c>
    </row>
    <row r="1686" spans="1:4" x14ac:dyDescent="0.25">
      <c r="A1686" s="7" t="s">
        <v>15403</v>
      </c>
      <c r="B1686" s="8" t="s">
        <v>15404</v>
      </c>
      <c r="C1686" s="8" t="s">
        <v>1865</v>
      </c>
      <c r="D1686" s="8" t="str">
        <f>"9789173939546"</f>
        <v>9789173939546</v>
      </c>
    </row>
    <row r="1687" spans="1:4" x14ac:dyDescent="0.25">
      <c r="A1687" s="7" t="s">
        <v>2003</v>
      </c>
      <c r="B1687" s="8" t="s">
        <v>2004</v>
      </c>
      <c r="C1687" s="8" t="s">
        <v>1962</v>
      </c>
      <c r="D1687" s="8" t="str">
        <f>"9782759207121"</f>
        <v>9782759207121</v>
      </c>
    </row>
    <row r="1688" spans="1:4" x14ac:dyDescent="0.25">
      <c r="A1688" s="7" t="s">
        <v>11507</v>
      </c>
      <c r="B1688" s="8" t="s">
        <v>11508</v>
      </c>
      <c r="C1688" s="8" t="s">
        <v>355</v>
      </c>
      <c r="D1688" s="8" t="str">
        <f>"9783111656892"</f>
        <v>9783111656892</v>
      </c>
    </row>
    <row r="1689" spans="1:4" x14ac:dyDescent="0.25">
      <c r="A1689" s="7" t="s">
        <v>11735</v>
      </c>
      <c r="B1689" s="8" t="s">
        <v>11736</v>
      </c>
      <c r="C1689" s="8" t="s">
        <v>355</v>
      </c>
      <c r="D1689" s="8" t="str">
        <f>"9783111373027"</f>
        <v>9783111373027</v>
      </c>
    </row>
    <row r="1690" spans="1:4" x14ac:dyDescent="0.25">
      <c r="A1690" s="7" t="s">
        <v>16161</v>
      </c>
      <c r="B1690" s="8" t="s">
        <v>16162</v>
      </c>
      <c r="C1690" s="8" t="s">
        <v>1865</v>
      </c>
      <c r="D1690" s="8" t="str">
        <f>"9789176858288"</f>
        <v>9789176858288</v>
      </c>
    </row>
    <row r="1691" spans="1:4" ht="30" x14ac:dyDescent="0.25">
      <c r="A1691" s="7" t="s">
        <v>14221</v>
      </c>
      <c r="B1691" s="8" t="s">
        <v>14222</v>
      </c>
      <c r="C1691" s="8" t="s">
        <v>9256</v>
      </c>
      <c r="D1691" s="8" t="str">
        <f>"9788028001414"</f>
        <v>9788028001414</v>
      </c>
    </row>
    <row r="1692" spans="1:4" ht="30" x14ac:dyDescent="0.25">
      <c r="A1692" s="7" t="s">
        <v>9624</v>
      </c>
      <c r="B1692" s="8" t="s">
        <v>9625</v>
      </c>
      <c r="C1692" s="8" t="s">
        <v>1865</v>
      </c>
      <c r="D1692" s="8" t="str">
        <f>"9789179291785"</f>
        <v>9789179291785</v>
      </c>
    </row>
    <row r="1693" spans="1:4" x14ac:dyDescent="0.25">
      <c r="A1693" s="7" t="s">
        <v>15362</v>
      </c>
      <c r="B1693" s="8" t="s">
        <v>15363</v>
      </c>
      <c r="C1693" s="8" t="s">
        <v>1865</v>
      </c>
      <c r="D1693" s="8" t="str">
        <f>"9789175192352"</f>
        <v>9789175192352</v>
      </c>
    </row>
    <row r="1694" spans="1:4" x14ac:dyDescent="0.25">
      <c r="A1694" s="7" t="s">
        <v>6526</v>
      </c>
      <c r="B1694" s="8" t="s">
        <v>6527</v>
      </c>
      <c r="C1694" s="8" t="s">
        <v>2073</v>
      </c>
      <c r="D1694" s="8" t="str">
        <f>"9781438482903"</f>
        <v>9781438482903</v>
      </c>
    </row>
    <row r="1695" spans="1:4" x14ac:dyDescent="0.25">
      <c r="A1695" s="7" t="s">
        <v>9490</v>
      </c>
      <c r="B1695" s="8" t="s">
        <v>9491</v>
      </c>
      <c r="C1695" s="8" t="s">
        <v>5086</v>
      </c>
      <c r="D1695" s="8" t="str">
        <f>"9783658371036"</f>
        <v>9783658371036</v>
      </c>
    </row>
    <row r="1696" spans="1:4" x14ac:dyDescent="0.25">
      <c r="A1696" s="7" t="s">
        <v>14452</v>
      </c>
      <c r="B1696" s="8" t="s">
        <v>14453</v>
      </c>
      <c r="C1696" s="8" t="s">
        <v>1865</v>
      </c>
      <c r="D1696" s="8" t="str">
        <f>"9789179297244"</f>
        <v>9789179297244</v>
      </c>
    </row>
    <row r="1697" spans="1:4" ht="30" x14ac:dyDescent="0.25">
      <c r="A1697" s="7" t="s">
        <v>15586</v>
      </c>
      <c r="B1697" s="8" t="s">
        <v>15587</v>
      </c>
      <c r="C1697" s="8" t="s">
        <v>1865</v>
      </c>
      <c r="D1697" s="8" t="str">
        <f>"9789175196695"</f>
        <v>9789175196695</v>
      </c>
    </row>
    <row r="1698" spans="1:4" x14ac:dyDescent="0.25">
      <c r="A1698" s="7" t="s">
        <v>15823</v>
      </c>
      <c r="B1698" s="8" t="s">
        <v>15824</v>
      </c>
      <c r="C1698" s="8" t="s">
        <v>1865</v>
      </c>
      <c r="D1698" s="8" t="str">
        <f>"9789185831401"</f>
        <v>9789185831401</v>
      </c>
    </row>
    <row r="1699" spans="1:4" ht="30" x14ac:dyDescent="0.25">
      <c r="A1699" s="7" t="s">
        <v>4046</v>
      </c>
      <c r="B1699" s="8" t="s">
        <v>4047</v>
      </c>
      <c r="C1699" s="8" t="s">
        <v>1865</v>
      </c>
      <c r="D1699" s="8" t="str">
        <f>"9789176852026"</f>
        <v>9789176852026</v>
      </c>
    </row>
    <row r="1700" spans="1:4" x14ac:dyDescent="0.25">
      <c r="A1700" s="7" t="s">
        <v>14640</v>
      </c>
      <c r="B1700" s="8" t="s">
        <v>14641</v>
      </c>
      <c r="C1700" s="8" t="s">
        <v>1865</v>
      </c>
      <c r="D1700" s="8" t="str">
        <f>"9789179297039"</f>
        <v>9789179297039</v>
      </c>
    </row>
    <row r="1701" spans="1:4" x14ac:dyDescent="0.25">
      <c r="A1701" s="7" t="s">
        <v>6468</v>
      </c>
      <c r="B1701" s="8" t="s">
        <v>6469</v>
      </c>
      <c r="C1701" s="8" t="s">
        <v>2274</v>
      </c>
      <c r="D1701" s="8" t="str">
        <f>"9789811586323"</f>
        <v>9789811586323</v>
      </c>
    </row>
    <row r="1702" spans="1:4" ht="30" x14ac:dyDescent="0.25">
      <c r="A1702" s="7" t="s">
        <v>16303</v>
      </c>
      <c r="B1702" s="8" t="s">
        <v>16304</v>
      </c>
      <c r="C1702" s="8" t="s">
        <v>1865</v>
      </c>
      <c r="D1702" s="8" t="str">
        <f>"9789179295813"</f>
        <v>9789179295813</v>
      </c>
    </row>
    <row r="1703" spans="1:4" x14ac:dyDescent="0.25">
      <c r="A1703" s="7" t="s">
        <v>7895</v>
      </c>
      <c r="B1703" s="8" t="s">
        <v>7896</v>
      </c>
      <c r="C1703" s="8" t="s">
        <v>1865</v>
      </c>
      <c r="D1703" s="8" t="str">
        <f>"9789179290221"</f>
        <v>9789179290221</v>
      </c>
    </row>
    <row r="1704" spans="1:4" x14ac:dyDescent="0.25">
      <c r="A1704" s="7" t="s">
        <v>9650</v>
      </c>
      <c r="B1704" s="8" t="s">
        <v>9651</v>
      </c>
      <c r="C1704" s="8" t="s">
        <v>4882</v>
      </c>
      <c r="D1704" s="8" t="str">
        <f>"9781802070651"</f>
        <v>9781802070651</v>
      </c>
    </row>
    <row r="1705" spans="1:4" ht="30" x14ac:dyDescent="0.25">
      <c r="A1705" s="7" t="s">
        <v>6506</v>
      </c>
      <c r="B1705" s="8" t="s">
        <v>6507</v>
      </c>
      <c r="C1705" s="8" t="s">
        <v>2273</v>
      </c>
      <c r="D1705" s="8" t="str">
        <f>"9783030610715"</f>
        <v>9783030610715</v>
      </c>
    </row>
    <row r="1706" spans="1:4" x14ac:dyDescent="0.25">
      <c r="A1706" s="7" t="s">
        <v>626</v>
      </c>
      <c r="B1706" s="8" t="s">
        <v>627</v>
      </c>
      <c r="C1706" s="8" t="s">
        <v>562</v>
      </c>
      <c r="D1706" s="8" t="str">
        <f>"9780822394853"</f>
        <v>9780822394853</v>
      </c>
    </row>
    <row r="1707" spans="1:4" ht="30" x14ac:dyDescent="0.25">
      <c r="A1707" s="7" t="s">
        <v>14534</v>
      </c>
      <c r="B1707" s="8" t="s">
        <v>14535</v>
      </c>
      <c r="C1707" s="8" t="s">
        <v>1865</v>
      </c>
      <c r="D1707" s="8" t="str">
        <f>"9789179294120"</f>
        <v>9789179294120</v>
      </c>
    </row>
    <row r="1708" spans="1:4" x14ac:dyDescent="0.25">
      <c r="A1708" s="7" t="s">
        <v>14530</v>
      </c>
      <c r="B1708" s="8" t="s">
        <v>14531</v>
      </c>
      <c r="C1708" s="8" t="s">
        <v>1865</v>
      </c>
      <c r="D1708" s="8" t="str">
        <f>"9789179296247"</f>
        <v>9789179296247</v>
      </c>
    </row>
    <row r="1709" spans="1:4" ht="30" x14ac:dyDescent="0.25">
      <c r="A1709" s="7" t="s">
        <v>11344</v>
      </c>
      <c r="B1709" s="8" t="s">
        <v>103</v>
      </c>
      <c r="C1709" s="8" t="s">
        <v>355</v>
      </c>
      <c r="D1709" s="8" t="str">
        <f>"9783110702705"</f>
        <v>9783110702705</v>
      </c>
    </row>
    <row r="1710" spans="1:4" ht="30" x14ac:dyDescent="0.25">
      <c r="A1710" s="7" t="s">
        <v>14591</v>
      </c>
      <c r="B1710" s="8" t="s">
        <v>14592</v>
      </c>
      <c r="C1710" s="8" t="s">
        <v>1865</v>
      </c>
      <c r="D1710" s="8" t="str">
        <f>"9789179292546"</f>
        <v>9789179292546</v>
      </c>
    </row>
    <row r="1711" spans="1:4" x14ac:dyDescent="0.25">
      <c r="A1711" s="7" t="s">
        <v>8681</v>
      </c>
      <c r="B1711" s="8" t="s">
        <v>8682</v>
      </c>
      <c r="C1711" s="8" t="s">
        <v>4245</v>
      </c>
      <c r="D1711" s="8" t="str">
        <f>"9789811652103"</f>
        <v>9789811652103</v>
      </c>
    </row>
    <row r="1712" spans="1:4" x14ac:dyDescent="0.25">
      <c r="A1712" s="7" t="s">
        <v>14380</v>
      </c>
      <c r="B1712" s="8" t="s">
        <v>14381</v>
      </c>
      <c r="C1712" s="8" t="s">
        <v>1865</v>
      </c>
      <c r="D1712" s="8" t="str">
        <f>"9789179294731"</f>
        <v>9789179294731</v>
      </c>
    </row>
    <row r="1713" spans="1:4" ht="30" x14ac:dyDescent="0.25">
      <c r="A1713" s="7" t="s">
        <v>12204</v>
      </c>
      <c r="B1713" s="8" t="s">
        <v>12205</v>
      </c>
      <c r="C1713" s="8" t="s">
        <v>2273</v>
      </c>
      <c r="D1713" s="8" t="str">
        <f>"9783031012334"</f>
        <v>9783031012334</v>
      </c>
    </row>
    <row r="1714" spans="1:4" x14ac:dyDescent="0.25">
      <c r="A1714" s="7" t="s">
        <v>3868</v>
      </c>
      <c r="B1714" s="8" t="s">
        <v>3869</v>
      </c>
      <c r="C1714" s="8" t="s">
        <v>355</v>
      </c>
      <c r="D1714" s="8" t="str">
        <f>"9783110539356"</f>
        <v>9783110539356</v>
      </c>
    </row>
    <row r="1715" spans="1:4" x14ac:dyDescent="0.25">
      <c r="A1715" s="7" t="s">
        <v>3359</v>
      </c>
      <c r="B1715" s="8" t="s">
        <v>3360</v>
      </c>
      <c r="C1715" s="8" t="s">
        <v>1865</v>
      </c>
      <c r="D1715" s="8" t="str">
        <f>"9789176854563"</f>
        <v>9789176854563</v>
      </c>
    </row>
    <row r="1716" spans="1:4" x14ac:dyDescent="0.25">
      <c r="A1716" s="7" t="s">
        <v>4523</v>
      </c>
      <c r="B1716" s="8" t="s">
        <v>4524</v>
      </c>
      <c r="C1716" s="8" t="s">
        <v>1865</v>
      </c>
      <c r="D1716" s="8" t="str">
        <f>"9789176850688"</f>
        <v>9789176850688</v>
      </c>
    </row>
    <row r="1717" spans="1:4" x14ac:dyDescent="0.25">
      <c r="A1717" s="7" t="s">
        <v>16190</v>
      </c>
      <c r="B1717" s="8" t="s">
        <v>16191</v>
      </c>
      <c r="C1717" s="8" t="s">
        <v>1865</v>
      </c>
      <c r="D1717" s="8" t="str">
        <f>"9789180750608"</f>
        <v>9789180750608</v>
      </c>
    </row>
    <row r="1718" spans="1:4" x14ac:dyDescent="0.25">
      <c r="A1718" s="7" t="s">
        <v>6379</v>
      </c>
      <c r="B1718" s="8" t="s">
        <v>6380</v>
      </c>
      <c r="C1718" s="8" t="s">
        <v>5134</v>
      </c>
      <c r="D1718" s="8" t="str">
        <f>"9783662623176"</f>
        <v>9783662623176</v>
      </c>
    </row>
    <row r="1719" spans="1:4" x14ac:dyDescent="0.25">
      <c r="A1719" s="7" t="s">
        <v>2198</v>
      </c>
      <c r="B1719" s="8" t="s">
        <v>2199</v>
      </c>
      <c r="C1719" s="8" t="s">
        <v>355</v>
      </c>
      <c r="D1719" s="8" t="str">
        <f>"9783110375817"</f>
        <v>9783110375817</v>
      </c>
    </row>
    <row r="1720" spans="1:4" x14ac:dyDescent="0.25">
      <c r="A1720" s="7" t="s">
        <v>2077</v>
      </c>
      <c r="B1720" s="8" t="s">
        <v>2078</v>
      </c>
      <c r="C1720" s="8" t="s">
        <v>2073</v>
      </c>
      <c r="D1720" s="8" t="str">
        <f>"9781438455938"</f>
        <v>9781438455938</v>
      </c>
    </row>
    <row r="1721" spans="1:4" x14ac:dyDescent="0.25">
      <c r="A1721" s="7" t="s">
        <v>11305</v>
      </c>
      <c r="B1721" s="8" t="s">
        <v>11306</v>
      </c>
      <c r="C1721" s="8" t="s">
        <v>355</v>
      </c>
      <c r="D1721" s="8" t="str">
        <f>"9783110720426"</f>
        <v>9783110720426</v>
      </c>
    </row>
    <row r="1722" spans="1:4" x14ac:dyDescent="0.25">
      <c r="A1722" s="7" t="s">
        <v>13394</v>
      </c>
      <c r="B1722" s="8" t="s">
        <v>13395</v>
      </c>
      <c r="C1722" s="8" t="s">
        <v>2273</v>
      </c>
      <c r="D1722" s="8" t="str">
        <f>"9783031110818"</f>
        <v>9783031110818</v>
      </c>
    </row>
    <row r="1723" spans="1:4" x14ac:dyDescent="0.25">
      <c r="A1723" s="7" t="s">
        <v>11409</v>
      </c>
      <c r="B1723" s="8" t="s">
        <v>11410</v>
      </c>
      <c r="C1723" s="8" t="s">
        <v>355</v>
      </c>
      <c r="D1723" s="8" t="str">
        <f>"9783110720273"</f>
        <v>9783110720273</v>
      </c>
    </row>
    <row r="1724" spans="1:4" ht="30" x14ac:dyDescent="0.25">
      <c r="A1724" s="7" t="s">
        <v>7304</v>
      </c>
      <c r="B1724" s="8" t="s">
        <v>7305</v>
      </c>
      <c r="C1724" s="8" t="s">
        <v>5086</v>
      </c>
      <c r="D1724" s="8" t="str">
        <f>"9783658341152"</f>
        <v>9783658341152</v>
      </c>
    </row>
    <row r="1725" spans="1:4" ht="30" x14ac:dyDescent="0.25">
      <c r="A1725" s="7" t="s">
        <v>15787</v>
      </c>
      <c r="B1725" s="8" t="s">
        <v>15788</v>
      </c>
      <c r="C1725" s="8" t="s">
        <v>1865</v>
      </c>
      <c r="D1725" s="8" t="str">
        <f>"9789175191522"</f>
        <v>9789175191522</v>
      </c>
    </row>
    <row r="1726" spans="1:4" ht="30" x14ac:dyDescent="0.25">
      <c r="A1726" s="7" t="s">
        <v>3083</v>
      </c>
      <c r="B1726" s="8" t="s">
        <v>3084</v>
      </c>
      <c r="C1726" s="8" t="s">
        <v>1879</v>
      </c>
      <c r="D1726" s="8" t="str">
        <f>"9781783743056"</f>
        <v>9781783743056</v>
      </c>
    </row>
    <row r="1727" spans="1:4" x14ac:dyDescent="0.25">
      <c r="A1727" s="7" t="s">
        <v>4291</v>
      </c>
      <c r="B1727" s="8" t="s">
        <v>4292</v>
      </c>
      <c r="C1727" s="8" t="s">
        <v>1345</v>
      </c>
      <c r="D1727" s="8" t="str">
        <f>"9783737606073"</f>
        <v>9783737606073</v>
      </c>
    </row>
    <row r="1728" spans="1:4" ht="30" x14ac:dyDescent="0.25">
      <c r="A1728" s="7" t="s">
        <v>4348</v>
      </c>
      <c r="B1728" s="8" t="s">
        <v>4349</v>
      </c>
      <c r="C1728" s="8" t="s">
        <v>1879</v>
      </c>
      <c r="D1728" s="8" t="str">
        <f>"9781783745975"</f>
        <v>9781783745975</v>
      </c>
    </row>
    <row r="1729" spans="1:4" x14ac:dyDescent="0.25">
      <c r="A1729" s="7" t="s">
        <v>5958</v>
      </c>
      <c r="B1729" s="8" t="s">
        <v>5959</v>
      </c>
      <c r="C1729" s="8" t="s">
        <v>2273</v>
      </c>
      <c r="D1729" s="8" t="str">
        <f>"9783319972022"</f>
        <v>9783319972022</v>
      </c>
    </row>
    <row r="1730" spans="1:4" x14ac:dyDescent="0.25">
      <c r="A1730" s="7" t="s">
        <v>16072</v>
      </c>
      <c r="B1730" s="8" t="s">
        <v>16073</v>
      </c>
      <c r="C1730" s="8" t="s">
        <v>1865</v>
      </c>
      <c r="D1730" s="8" t="str">
        <f>"9789175197135"</f>
        <v>9789175197135</v>
      </c>
    </row>
    <row r="1731" spans="1:4" ht="30" x14ac:dyDescent="0.25">
      <c r="A1731" s="7" t="s">
        <v>4197</v>
      </c>
      <c r="B1731" s="8" t="s">
        <v>4198</v>
      </c>
      <c r="C1731" s="8" t="s">
        <v>1865</v>
      </c>
      <c r="D1731" s="8" t="str">
        <f>"9789176852309"</f>
        <v>9789176852309</v>
      </c>
    </row>
    <row r="1732" spans="1:4" x14ac:dyDescent="0.25">
      <c r="A1732" s="7" t="s">
        <v>4637</v>
      </c>
      <c r="B1732" s="8" t="s">
        <v>4638</v>
      </c>
      <c r="C1732" s="8" t="s">
        <v>1865</v>
      </c>
      <c r="D1732" s="8" t="str">
        <f>"9789176850374"</f>
        <v>9789176850374</v>
      </c>
    </row>
    <row r="1733" spans="1:4" x14ac:dyDescent="0.25">
      <c r="A1733" s="7" t="s">
        <v>8718</v>
      </c>
      <c r="B1733" s="8" t="s">
        <v>8719</v>
      </c>
      <c r="C1733" s="8" t="s">
        <v>1865</v>
      </c>
      <c r="D1733" s="8" t="str">
        <f>"9789179290368"</f>
        <v>9789179290368</v>
      </c>
    </row>
    <row r="1734" spans="1:4" x14ac:dyDescent="0.25">
      <c r="A1734" s="7" t="s">
        <v>12277</v>
      </c>
      <c r="B1734" s="8" t="s">
        <v>12278</v>
      </c>
      <c r="C1734" s="8" t="s">
        <v>993</v>
      </c>
      <c r="D1734" s="8" t="str">
        <f>"9783839457955"</f>
        <v>9783839457955</v>
      </c>
    </row>
    <row r="1735" spans="1:4" x14ac:dyDescent="0.25">
      <c r="A1735" s="7" t="s">
        <v>3523</v>
      </c>
      <c r="B1735" s="8" t="s">
        <v>3524</v>
      </c>
      <c r="C1735" s="8" t="s">
        <v>1879</v>
      </c>
      <c r="D1735" s="8" t="str">
        <f>"9781783740949"</f>
        <v>9781783740949</v>
      </c>
    </row>
    <row r="1736" spans="1:4" x14ac:dyDescent="0.25">
      <c r="A1736" s="7" t="s">
        <v>8417</v>
      </c>
      <c r="B1736" s="8" t="s">
        <v>8418</v>
      </c>
      <c r="C1736" s="8" t="s">
        <v>993</v>
      </c>
      <c r="D1736" s="8" t="str">
        <f>"9783839454244"</f>
        <v>9783839454244</v>
      </c>
    </row>
    <row r="1737" spans="1:4" ht="30" x14ac:dyDescent="0.25">
      <c r="A1737" s="7" t="s">
        <v>8464</v>
      </c>
      <c r="B1737" s="8" t="s">
        <v>8465</v>
      </c>
      <c r="C1737" s="8" t="s">
        <v>993</v>
      </c>
      <c r="D1737" s="8" t="str">
        <f>"9783839451267"</f>
        <v>9783839451267</v>
      </c>
    </row>
    <row r="1738" spans="1:4" ht="30" x14ac:dyDescent="0.25">
      <c r="A1738" s="7" t="s">
        <v>8267</v>
      </c>
      <c r="B1738" s="8" t="s">
        <v>8268</v>
      </c>
      <c r="C1738" s="8" t="s">
        <v>993</v>
      </c>
      <c r="D1738" s="8" t="str">
        <f>"9783839449493"</f>
        <v>9783839449493</v>
      </c>
    </row>
    <row r="1739" spans="1:4" x14ac:dyDescent="0.25">
      <c r="A1739" s="7" t="s">
        <v>11947</v>
      </c>
      <c r="B1739" s="8" t="s">
        <v>2552</v>
      </c>
      <c r="C1739" s="8" t="s">
        <v>355</v>
      </c>
      <c r="D1739" s="8" t="str">
        <f>"9783110634082"</f>
        <v>9783110634082</v>
      </c>
    </row>
    <row r="1740" spans="1:4" x14ac:dyDescent="0.25">
      <c r="A1740" s="7" t="s">
        <v>9084</v>
      </c>
      <c r="B1740" s="8" t="s">
        <v>9085</v>
      </c>
      <c r="C1740" s="8" t="s">
        <v>1879</v>
      </c>
      <c r="D1740" s="8" t="str">
        <f>"9781800643109"</f>
        <v>9781800643109</v>
      </c>
    </row>
    <row r="1741" spans="1:4" x14ac:dyDescent="0.25">
      <c r="A1741" s="7" t="s">
        <v>401</v>
      </c>
      <c r="B1741" s="8" t="s">
        <v>402</v>
      </c>
      <c r="C1741" s="8" t="s">
        <v>227</v>
      </c>
      <c r="D1741" s="8" t="str">
        <f>"9781847790699"</f>
        <v>9781847790699</v>
      </c>
    </row>
    <row r="1742" spans="1:4" x14ac:dyDescent="0.25">
      <c r="A1742" s="7" t="s">
        <v>10690</v>
      </c>
      <c r="B1742" s="8" t="s">
        <v>10691</v>
      </c>
      <c r="C1742" s="8" t="s">
        <v>2273</v>
      </c>
      <c r="D1742" s="8" t="str">
        <f>"9783030856793"</f>
        <v>9783030856793</v>
      </c>
    </row>
    <row r="1743" spans="1:4" x14ac:dyDescent="0.25">
      <c r="A1743" s="7" t="s">
        <v>2446</v>
      </c>
      <c r="B1743" s="8" t="s">
        <v>2447</v>
      </c>
      <c r="C1743" s="8" t="s">
        <v>1865</v>
      </c>
      <c r="D1743" s="8" t="str">
        <f>"9789176859773"</f>
        <v>9789176859773</v>
      </c>
    </row>
    <row r="1744" spans="1:4" ht="30" x14ac:dyDescent="0.25">
      <c r="A1744" s="7" t="s">
        <v>10403</v>
      </c>
      <c r="B1744" s="8" t="s">
        <v>10324</v>
      </c>
      <c r="C1744" s="8" t="s">
        <v>993</v>
      </c>
      <c r="D1744" s="8" t="str">
        <f>"9783839455104"</f>
        <v>9783839455104</v>
      </c>
    </row>
    <row r="1745" spans="1:4" x14ac:dyDescent="0.25">
      <c r="A1745" s="7" t="s">
        <v>7632</v>
      </c>
      <c r="B1745" s="8" t="s">
        <v>17</v>
      </c>
      <c r="C1745" s="8" t="s">
        <v>993</v>
      </c>
      <c r="D1745" s="8" t="str">
        <f>"9783839423875"</f>
        <v>9783839423875</v>
      </c>
    </row>
    <row r="1746" spans="1:4" ht="30" x14ac:dyDescent="0.25">
      <c r="A1746" s="7" t="s">
        <v>7436</v>
      </c>
      <c r="B1746" s="8" t="s">
        <v>7437</v>
      </c>
      <c r="C1746" s="8" t="s">
        <v>993</v>
      </c>
      <c r="D1746" s="8" t="str">
        <f>"9783839437919"</f>
        <v>9783839437919</v>
      </c>
    </row>
    <row r="1747" spans="1:4" x14ac:dyDescent="0.25">
      <c r="A1747" s="7" t="s">
        <v>7511</v>
      </c>
      <c r="B1747" s="8" t="s">
        <v>7512</v>
      </c>
      <c r="C1747" s="8" t="s">
        <v>993</v>
      </c>
      <c r="D1747" s="8" t="str">
        <f>"9783839422786"</f>
        <v>9783839422786</v>
      </c>
    </row>
    <row r="1748" spans="1:4" x14ac:dyDescent="0.25">
      <c r="A1748" s="7" t="s">
        <v>5410</v>
      </c>
      <c r="B1748" s="8" t="s">
        <v>5411</v>
      </c>
      <c r="C1748" s="8" t="s">
        <v>5134</v>
      </c>
      <c r="D1748" s="8" t="str">
        <f>"9783662489598"</f>
        <v>9783662489598</v>
      </c>
    </row>
    <row r="1749" spans="1:4" ht="30" x14ac:dyDescent="0.25">
      <c r="A1749" s="7" t="s">
        <v>4820</v>
      </c>
      <c r="B1749" s="8" t="s">
        <v>4821</v>
      </c>
      <c r="C1749" s="8" t="s">
        <v>1865</v>
      </c>
      <c r="D1749" s="8" t="str">
        <f>"9789179299194"</f>
        <v>9789179299194</v>
      </c>
    </row>
    <row r="1750" spans="1:4" x14ac:dyDescent="0.25">
      <c r="A1750" s="7" t="s">
        <v>16169</v>
      </c>
      <c r="B1750" s="8" t="s">
        <v>15698</v>
      </c>
      <c r="C1750" s="8" t="s">
        <v>1865</v>
      </c>
      <c r="D1750" s="8" t="str">
        <f>"9789176856529"</f>
        <v>9789176856529</v>
      </c>
    </row>
    <row r="1751" spans="1:4" x14ac:dyDescent="0.25">
      <c r="A1751" s="7" t="s">
        <v>14086</v>
      </c>
      <c r="B1751" s="8" t="s">
        <v>14087</v>
      </c>
      <c r="C1751" s="8" t="s">
        <v>993</v>
      </c>
      <c r="D1751" s="8" t="str">
        <f>"9783839464373"</f>
        <v>9783839464373</v>
      </c>
    </row>
    <row r="1752" spans="1:4" x14ac:dyDescent="0.25">
      <c r="A1752" s="7" t="s">
        <v>15517</v>
      </c>
      <c r="B1752" s="8" t="s">
        <v>15518</v>
      </c>
      <c r="C1752" s="8" t="s">
        <v>1865</v>
      </c>
      <c r="D1752" s="8" t="str">
        <f>"9789185895120"</f>
        <v>9789185895120</v>
      </c>
    </row>
    <row r="1753" spans="1:4" x14ac:dyDescent="0.25">
      <c r="A1753" s="7" t="s">
        <v>4934</v>
      </c>
      <c r="B1753" s="8" t="s">
        <v>4935</v>
      </c>
      <c r="C1753" s="8" t="s">
        <v>1865</v>
      </c>
      <c r="D1753" s="8" t="str">
        <f>"9789179298432"</f>
        <v>9789179298432</v>
      </c>
    </row>
    <row r="1754" spans="1:4" x14ac:dyDescent="0.25">
      <c r="A1754" s="7" t="s">
        <v>2681</v>
      </c>
      <c r="B1754" s="8" t="s">
        <v>1958</v>
      </c>
      <c r="C1754" s="8" t="s">
        <v>1879</v>
      </c>
      <c r="D1754" s="8" t="str">
        <f>"9781909254923"</f>
        <v>9781909254923</v>
      </c>
    </row>
    <row r="1755" spans="1:4" x14ac:dyDescent="0.25">
      <c r="A1755" s="7" t="s">
        <v>1957</v>
      </c>
      <c r="B1755" s="8" t="s">
        <v>1958</v>
      </c>
      <c r="C1755" s="8" t="s">
        <v>1879</v>
      </c>
      <c r="D1755" s="8" t="str">
        <f>"9781783740093"</f>
        <v>9781783740093</v>
      </c>
    </row>
    <row r="1756" spans="1:4" ht="30" x14ac:dyDescent="0.25">
      <c r="A1756" s="7" t="s">
        <v>10482</v>
      </c>
      <c r="B1756" s="8" t="s">
        <v>10483</v>
      </c>
      <c r="C1756" s="8" t="s">
        <v>993</v>
      </c>
      <c r="D1756" s="8" t="str">
        <f>"9783839457795"</f>
        <v>9783839457795</v>
      </c>
    </row>
    <row r="1757" spans="1:4" x14ac:dyDescent="0.25">
      <c r="A1757" s="7" t="s">
        <v>6199</v>
      </c>
      <c r="B1757" s="8" t="s">
        <v>6200</v>
      </c>
      <c r="C1757" s="8" t="s">
        <v>2273</v>
      </c>
      <c r="D1757" s="8" t="str">
        <f>"9783030520175"</f>
        <v>9783030520175</v>
      </c>
    </row>
    <row r="1758" spans="1:4" ht="30" x14ac:dyDescent="0.25">
      <c r="A1758" s="7" t="s">
        <v>12443</v>
      </c>
      <c r="B1758" s="8" t="s">
        <v>5731</v>
      </c>
      <c r="C1758" s="8" t="s">
        <v>2273</v>
      </c>
      <c r="D1758" s="8" t="str">
        <f>"9783031049613"</f>
        <v>9783031049613</v>
      </c>
    </row>
    <row r="1759" spans="1:4" x14ac:dyDescent="0.25">
      <c r="A1759" s="7" t="s">
        <v>3396</v>
      </c>
      <c r="B1759" s="8" t="s">
        <v>3397</v>
      </c>
      <c r="C1759" s="8" t="s">
        <v>1865</v>
      </c>
      <c r="D1759" s="8" t="str">
        <f>"9789176854181"</f>
        <v>9789176854181</v>
      </c>
    </row>
    <row r="1760" spans="1:4" x14ac:dyDescent="0.25">
      <c r="A1760" s="7" t="s">
        <v>8501</v>
      </c>
      <c r="B1760" s="8" t="s">
        <v>8502</v>
      </c>
      <c r="C1760" s="8" t="s">
        <v>993</v>
      </c>
      <c r="D1760" s="8" t="str">
        <f>"9783839450796"</f>
        <v>9783839450796</v>
      </c>
    </row>
    <row r="1761" spans="1:4" x14ac:dyDescent="0.25">
      <c r="A1761" s="7" t="s">
        <v>3765</v>
      </c>
      <c r="B1761" s="8" t="s">
        <v>3764</v>
      </c>
      <c r="C1761" s="8" t="s">
        <v>1345</v>
      </c>
      <c r="D1761" s="8" t="str">
        <f>"9783737604697"</f>
        <v>9783737604697</v>
      </c>
    </row>
    <row r="1762" spans="1:4" ht="30" x14ac:dyDescent="0.25">
      <c r="A1762" s="7" t="s">
        <v>9912</v>
      </c>
      <c r="B1762" s="8" t="s">
        <v>9913</v>
      </c>
      <c r="C1762" s="8" t="s">
        <v>993</v>
      </c>
      <c r="D1762" s="8" t="str">
        <f>"9783839407912"</f>
        <v>9783839407912</v>
      </c>
    </row>
    <row r="1763" spans="1:4" ht="30" x14ac:dyDescent="0.25">
      <c r="A1763" s="7" t="s">
        <v>1705</v>
      </c>
      <c r="B1763" s="8" t="s">
        <v>1706</v>
      </c>
      <c r="C1763" s="8" t="s">
        <v>1345</v>
      </c>
      <c r="D1763" s="8" t="str">
        <f>"9783862195992"</f>
        <v>9783862195992</v>
      </c>
    </row>
    <row r="1764" spans="1:4" ht="30" x14ac:dyDescent="0.25">
      <c r="A1764" s="7" t="s">
        <v>12375</v>
      </c>
      <c r="B1764" s="8" t="s">
        <v>12376</v>
      </c>
      <c r="C1764" s="8" t="s">
        <v>5086</v>
      </c>
      <c r="D1764" s="8" t="str">
        <f>"9783658379209"</f>
        <v>9783658379209</v>
      </c>
    </row>
    <row r="1765" spans="1:4" ht="45" x14ac:dyDescent="0.25">
      <c r="A1765" s="7" t="s">
        <v>2817</v>
      </c>
      <c r="B1765" s="8" t="s">
        <v>2818</v>
      </c>
      <c r="C1765" s="8" t="s">
        <v>1345</v>
      </c>
      <c r="D1765" s="8" t="str">
        <f>"9783737601917"</f>
        <v>9783737601917</v>
      </c>
    </row>
    <row r="1766" spans="1:4" x14ac:dyDescent="0.25">
      <c r="A1766" s="7" t="s">
        <v>10232</v>
      </c>
      <c r="B1766" s="8" t="s">
        <v>10233</v>
      </c>
      <c r="C1766" s="8" t="s">
        <v>993</v>
      </c>
      <c r="D1766" s="8" t="str">
        <f>"9783839445495"</f>
        <v>9783839445495</v>
      </c>
    </row>
    <row r="1767" spans="1:4" x14ac:dyDescent="0.25">
      <c r="A1767" s="7" t="s">
        <v>500</v>
      </c>
      <c r="B1767" s="8" t="s">
        <v>353</v>
      </c>
      <c r="C1767" s="8" t="s">
        <v>316</v>
      </c>
      <c r="D1767" s="8" t="str">
        <f>"9783110232363"</f>
        <v>9783110232363</v>
      </c>
    </row>
    <row r="1768" spans="1:4" ht="30" x14ac:dyDescent="0.25">
      <c r="A1768" s="7" t="s">
        <v>9840</v>
      </c>
      <c r="B1768" s="8" t="s">
        <v>9841</v>
      </c>
      <c r="C1768" s="8" t="s">
        <v>993</v>
      </c>
      <c r="D1768" s="8" t="str">
        <f>"9783839406359"</f>
        <v>9783839406359</v>
      </c>
    </row>
    <row r="1769" spans="1:4" ht="30" x14ac:dyDescent="0.25">
      <c r="A1769" s="7" t="s">
        <v>7700</v>
      </c>
      <c r="B1769" s="8" t="s">
        <v>7701</v>
      </c>
      <c r="C1769" s="8" t="s">
        <v>993</v>
      </c>
      <c r="D1769" s="8" t="str">
        <f>"9783839429600"</f>
        <v>9783839429600</v>
      </c>
    </row>
    <row r="1770" spans="1:4" x14ac:dyDescent="0.25">
      <c r="A1770" s="7" t="s">
        <v>12024</v>
      </c>
      <c r="B1770" s="8" t="s">
        <v>11485</v>
      </c>
      <c r="C1770" s="8" t="s">
        <v>355</v>
      </c>
      <c r="D1770" s="8" t="str">
        <f>"9783486774382"</f>
        <v>9783486774382</v>
      </c>
    </row>
    <row r="1771" spans="1:4" ht="45" x14ac:dyDescent="0.25">
      <c r="A1771" s="7" t="s">
        <v>1109</v>
      </c>
      <c r="B1771" s="8" t="s">
        <v>23</v>
      </c>
      <c r="C1771" s="8" t="s">
        <v>316</v>
      </c>
      <c r="D1771" s="8" t="str">
        <f>"9783110899085"</f>
        <v>9783110899085</v>
      </c>
    </row>
    <row r="1772" spans="1:4" x14ac:dyDescent="0.25">
      <c r="A1772" s="7" t="s">
        <v>4093</v>
      </c>
      <c r="B1772" s="8" t="s">
        <v>4094</v>
      </c>
      <c r="C1772" s="8" t="s">
        <v>316</v>
      </c>
      <c r="D1772" s="8" t="str">
        <f>"9783110903249"</f>
        <v>9783110903249</v>
      </c>
    </row>
    <row r="1773" spans="1:4" x14ac:dyDescent="0.25">
      <c r="A1773" s="7" t="s">
        <v>6693</v>
      </c>
      <c r="B1773" s="8" t="s">
        <v>6694</v>
      </c>
      <c r="C1773" s="8" t="s">
        <v>5942</v>
      </c>
      <c r="D1773" s="8" t="str">
        <f>"9783476057648"</f>
        <v>9783476057648</v>
      </c>
    </row>
    <row r="1774" spans="1:4" ht="30" x14ac:dyDescent="0.25">
      <c r="A1774" s="7" t="s">
        <v>1768</v>
      </c>
      <c r="B1774" s="8" t="s">
        <v>1769</v>
      </c>
      <c r="C1774" s="8" t="s">
        <v>1345</v>
      </c>
      <c r="D1774" s="8" t="str">
        <f>"9783862197316"</f>
        <v>9783862197316</v>
      </c>
    </row>
    <row r="1775" spans="1:4" ht="30" x14ac:dyDescent="0.25">
      <c r="A1775" s="7" t="s">
        <v>12065</v>
      </c>
      <c r="B1775" s="8" t="s">
        <v>12066</v>
      </c>
      <c r="C1775" s="8" t="s">
        <v>355</v>
      </c>
      <c r="D1775" s="8" t="str">
        <f>"9783486754407"</f>
        <v>9783486754407</v>
      </c>
    </row>
    <row r="1776" spans="1:4" ht="45" x14ac:dyDescent="0.25">
      <c r="A1776" s="7" t="s">
        <v>13298</v>
      </c>
      <c r="B1776" s="8" t="s">
        <v>13299</v>
      </c>
      <c r="C1776" s="8" t="s">
        <v>12712</v>
      </c>
      <c r="D1776" s="8" t="str">
        <f>"9783428574575"</f>
        <v>9783428574575</v>
      </c>
    </row>
    <row r="1777" spans="1:4" ht="45" x14ac:dyDescent="0.25">
      <c r="A1777" s="7" t="s">
        <v>13114</v>
      </c>
      <c r="B1777" s="8" t="s">
        <v>13115</v>
      </c>
      <c r="C1777" s="8" t="s">
        <v>12712</v>
      </c>
      <c r="D1777" s="8" t="str">
        <f>"9783428572830"</f>
        <v>9783428572830</v>
      </c>
    </row>
    <row r="1778" spans="1:4" x14ac:dyDescent="0.25">
      <c r="A1778" s="7" t="s">
        <v>12864</v>
      </c>
      <c r="B1778" s="8" t="s">
        <v>12772</v>
      </c>
      <c r="C1778" s="8" t="s">
        <v>12712</v>
      </c>
      <c r="D1778" s="8" t="str">
        <f>"9783428438983"</f>
        <v>9783428438983</v>
      </c>
    </row>
    <row r="1779" spans="1:4" x14ac:dyDescent="0.25">
      <c r="A1779" s="7" t="s">
        <v>12105</v>
      </c>
      <c r="B1779" s="8" t="s">
        <v>12106</v>
      </c>
      <c r="C1779" s="8" t="s">
        <v>355</v>
      </c>
      <c r="D1779" s="8" t="str">
        <f>"9783110552621"</f>
        <v>9783110552621</v>
      </c>
    </row>
    <row r="1780" spans="1:4" x14ac:dyDescent="0.25">
      <c r="A1780" s="7" t="s">
        <v>2236</v>
      </c>
      <c r="B1780" s="8" t="s">
        <v>2237</v>
      </c>
      <c r="C1780" s="8" t="s">
        <v>355</v>
      </c>
      <c r="D1780" s="8" t="str">
        <f>"9783486835380"</f>
        <v>9783486835380</v>
      </c>
    </row>
    <row r="1781" spans="1:4" ht="30" x14ac:dyDescent="0.25">
      <c r="A1781" s="7" t="s">
        <v>10520</v>
      </c>
      <c r="B1781" s="8" t="s">
        <v>10521</v>
      </c>
      <c r="C1781" s="8" t="s">
        <v>993</v>
      </c>
      <c r="D1781" s="8" t="str">
        <f>"9783839458716"</f>
        <v>9783839458716</v>
      </c>
    </row>
    <row r="1782" spans="1:4" x14ac:dyDescent="0.25">
      <c r="A1782" s="7" t="s">
        <v>766</v>
      </c>
      <c r="B1782" s="8" t="s">
        <v>767</v>
      </c>
      <c r="C1782" s="8" t="s">
        <v>355</v>
      </c>
      <c r="D1782" s="8" t="str">
        <f>"9783486719390"</f>
        <v>9783486719390</v>
      </c>
    </row>
    <row r="1783" spans="1:4" ht="30" x14ac:dyDescent="0.25">
      <c r="A1783" s="7" t="s">
        <v>11564</v>
      </c>
      <c r="B1783" s="8" t="s">
        <v>11565</v>
      </c>
      <c r="C1783" s="8" t="s">
        <v>355</v>
      </c>
      <c r="D1783" s="8" t="str">
        <f>"9783111575803"</f>
        <v>9783111575803</v>
      </c>
    </row>
    <row r="1784" spans="1:4" ht="30" x14ac:dyDescent="0.25">
      <c r="A1784" s="7" t="s">
        <v>10135</v>
      </c>
      <c r="B1784" s="8" t="s">
        <v>10136</v>
      </c>
      <c r="C1784" s="8" t="s">
        <v>993</v>
      </c>
      <c r="D1784" s="8" t="str">
        <f>"9783839438985"</f>
        <v>9783839438985</v>
      </c>
    </row>
    <row r="1785" spans="1:4" ht="30" x14ac:dyDescent="0.25">
      <c r="A1785" s="7" t="s">
        <v>8986</v>
      </c>
      <c r="B1785" s="8" t="s">
        <v>8987</v>
      </c>
      <c r="C1785" s="8" t="s">
        <v>5086</v>
      </c>
      <c r="D1785" s="8" t="str">
        <f>"9783658363680"</f>
        <v>9783658363680</v>
      </c>
    </row>
    <row r="1786" spans="1:4" ht="30" x14ac:dyDescent="0.25">
      <c r="A1786" s="7" t="s">
        <v>4601</v>
      </c>
      <c r="B1786" s="8" t="s">
        <v>4602</v>
      </c>
      <c r="C1786" s="8" t="s">
        <v>1345</v>
      </c>
      <c r="D1786" s="8" t="str">
        <f>"9783737607377"</f>
        <v>9783737607377</v>
      </c>
    </row>
    <row r="1787" spans="1:4" ht="45" x14ac:dyDescent="0.25">
      <c r="A1787" s="7" t="s">
        <v>1153</v>
      </c>
      <c r="B1787" s="8" t="s">
        <v>1154</v>
      </c>
      <c r="C1787" s="8" t="s">
        <v>316</v>
      </c>
      <c r="D1787" s="8" t="str">
        <f>"9783110890877"</f>
        <v>9783110890877</v>
      </c>
    </row>
    <row r="1788" spans="1:4" ht="45" x14ac:dyDescent="0.25">
      <c r="A1788" s="7" t="s">
        <v>1082</v>
      </c>
      <c r="B1788" s="8" t="s">
        <v>1083</v>
      </c>
      <c r="C1788" s="8" t="s">
        <v>316</v>
      </c>
      <c r="D1788" s="8" t="str">
        <f>"9783110895834"</f>
        <v>9783110895834</v>
      </c>
    </row>
    <row r="1789" spans="1:4" ht="30" x14ac:dyDescent="0.25">
      <c r="A1789" s="7" t="s">
        <v>13059</v>
      </c>
      <c r="B1789" s="8" t="s">
        <v>13060</v>
      </c>
      <c r="C1789" s="8" t="s">
        <v>12712</v>
      </c>
      <c r="D1789" s="8" t="str">
        <f>"9783428559312"</f>
        <v>9783428559312</v>
      </c>
    </row>
    <row r="1790" spans="1:4" x14ac:dyDescent="0.25">
      <c r="A1790" s="7" t="s">
        <v>7268</v>
      </c>
      <c r="B1790" s="8" t="s">
        <v>7269</v>
      </c>
      <c r="C1790" s="8" t="s">
        <v>355</v>
      </c>
      <c r="D1790" s="8" t="str">
        <f>"9783110677058"</f>
        <v>9783110677058</v>
      </c>
    </row>
    <row r="1791" spans="1:4" ht="30" x14ac:dyDescent="0.25">
      <c r="A1791" s="7" t="s">
        <v>11778</v>
      </c>
      <c r="B1791" s="8" t="s">
        <v>11779</v>
      </c>
      <c r="C1791" s="8" t="s">
        <v>355</v>
      </c>
      <c r="D1791" s="8" t="str">
        <f>"9783110714357"</f>
        <v>9783110714357</v>
      </c>
    </row>
    <row r="1792" spans="1:4" ht="30" x14ac:dyDescent="0.25">
      <c r="A1792" s="7" t="s">
        <v>8322</v>
      </c>
      <c r="B1792" s="8" t="s">
        <v>8323</v>
      </c>
      <c r="C1792" s="8" t="s">
        <v>993</v>
      </c>
      <c r="D1792" s="8" t="str">
        <f>"9783839451847"</f>
        <v>9783839451847</v>
      </c>
    </row>
    <row r="1793" spans="1:4" x14ac:dyDescent="0.25">
      <c r="A1793" s="7" t="s">
        <v>11890</v>
      </c>
      <c r="B1793" s="8" t="s">
        <v>11891</v>
      </c>
      <c r="C1793" s="8" t="s">
        <v>355</v>
      </c>
      <c r="D1793" s="8" t="str">
        <f>"9783110826401"</f>
        <v>9783110826401</v>
      </c>
    </row>
    <row r="1794" spans="1:4" ht="30" x14ac:dyDescent="0.25">
      <c r="A1794" s="7" t="s">
        <v>9880</v>
      </c>
      <c r="B1794" s="8" t="s">
        <v>9881</v>
      </c>
      <c r="C1794" s="8" t="s">
        <v>993</v>
      </c>
      <c r="D1794" s="8" t="str">
        <f>"9783839407196"</f>
        <v>9783839407196</v>
      </c>
    </row>
    <row r="1795" spans="1:4" x14ac:dyDescent="0.25">
      <c r="A1795" s="7" t="s">
        <v>7505</v>
      </c>
      <c r="B1795" s="8" t="s">
        <v>109</v>
      </c>
      <c r="C1795" s="8" t="s">
        <v>993</v>
      </c>
      <c r="D1795" s="8" t="str">
        <f>"9783839402092"</f>
        <v>9783839402092</v>
      </c>
    </row>
    <row r="1796" spans="1:4" ht="30" x14ac:dyDescent="0.25">
      <c r="A1796" s="7" t="s">
        <v>6896</v>
      </c>
      <c r="B1796" s="8" t="s">
        <v>6897</v>
      </c>
      <c r="C1796" s="8" t="s">
        <v>2273</v>
      </c>
      <c r="D1796" s="8" t="str">
        <f>"9783030582517"</f>
        <v>9783030582517</v>
      </c>
    </row>
    <row r="1797" spans="1:4" ht="30" x14ac:dyDescent="0.25">
      <c r="A1797" s="7" t="s">
        <v>525</v>
      </c>
      <c r="B1797" s="8" t="s">
        <v>526</v>
      </c>
      <c r="C1797" s="8" t="s">
        <v>316</v>
      </c>
      <c r="D1797" s="8" t="str">
        <f>"9783110266887"</f>
        <v>9783110266887</v>
      </c>
    </row>
    <row r="1798" spans="1:4" ht="30" x14ac:dyDescent="0.25">
      <c r="A1798" s="7" t="s">
        <v>11453</v>
      </c>
      <c r="B1798" s="8" t="s">
        <v>11454</v>
      </c>
      <c r="C1798" s="8" t="s">
        <v>355</v>
      </c>
      <c r="D1798" s="8" t="str">
        <f>"9783110719253"</f>
        <v>9783110719253</v>
      </c>
    </row>
    <row r="1799" spans="1:4" ht="30" x14ac:dyDescent="0.25">
      <c r="A1799" s="7" t="s">
        <v>11619</v>
      </c>
      <c r="B1799" s="8" t="s">
        <v>11620</v>
      </c>
      <c r="C1799" s="8" t="s">
        <v>355</v>
      </c>
      <c r="D1799" s="8" t="str">
        <f>"9783111653877"</f>
        <v>9783111653877</v>
      </c>
    </row>
    <row r="1800" spans="1:4" ht="30" x14ac:dyDescent="0.25">
      <c r="A1800" s="7" t="s">
        <v>13048</v>
      </c>
      <c r="B1800" s="8" t="s">
        <v>13049</v>
      </c>
      <c r="C1800" s="8" t="s">
        <v>12712</v>
      </c>
      <c r="D1800" s="8" t="str">
        <f>"9783428550449"</f>
        <v>9783428550449</v>
      </c>
    </row>
    <row r="1801" spans="1:4" ht="30" x14ac:dyDescent="0.25">
      <c r="A1801" s="7" t="s">
        <v>7292</v>
      </c>
      <c r="B1801" s="8" t="s">
        <v>7293</v>
      </c>
      <c r="C1801" s="8" t="s">
        <v>993</v>
      </c>
      <c r="D1801" s="8" t="str">
        <f>"9783839458457"</f>
        <v>9783839458457</v>
      </c>
    </row>
    <row r="1802" spans="1:4" ht="30" x14ac:dyDescent="0.25">
      <c r="A1802" s="7" t="s">
        <v>4608</v>
      </c>
      <c r="B1802" s="8" t="s">
        <v>4609</v>
      </c>
      <c r="C1802" s="8" t="s">
        <v>1345</v>
      </c>
      <c r="D1802" s="8" t="str">
        <f>"9783737606899"</f>
        <v>9783737606899</v>
      </c>
    </row>
    <row r="1803" spans="1:4" ht="30" x14ac:dyDescent="0.25">
      <c r="A1803" s="7" t="s">
        <v>8200</v>
      </c>
      <c r="B1803" s="8" t="s">
        <v>8201</v>
      </c>
      <c r="C1803" s="8" t="s">
        <v>993</v>
      </c>
      <c r="D1803" s="8" t="str">
        <f>"9783839455937"</f>
        <v>9783839455937</v>
      </c>
    </row>
    <row r="1804" spans="1:4" ht="30" x14ac:dyDescent="0.25">
      <c r="A1804" s="7" t="s">
        <v>3771</v>
      </c>
      <c r="B1804" s="8" t="s">
        <v>3772</v>
      </c>
      <c r="C1804" s="8" t="s">
        <v>1345</v>
      </c>
      <c r="D1804" s="8" t="str">
        <f>"9783737605274"</f>
        <v>9783737605274</v>
      </c>
    </row>
    <row r="1805" spans="1:4" x14ac:dyDescent="0.25">
      <c r="A1805" s="7" t="s">
        <v>9965</v>
      </c>
      <c r="B1805" s="8" t="s">
        <v>9966</v>
      </c>
      <c r="C1805" s="8" t="s">
        <v>993</v>
      </c>
      <c r="D1805" s="8" t="str">
        <f>"9783839408971"</f>
        <v>9783839408971</v>
      </c>
    </row>
    <row r="1806" spans="1:4" ht="30" x14ac:dyDescent="0.25">
      <c r="A1806" s="7" t="s">
        <v>1205</v>
      </c>
      <c r="B1806" s="8" t="s">
        <v>1206</v>
      </c>
      <c r="C1806" s="8" t="s">
        <v>355</v>
      </c>
      <c r="D1806" s="8" t="str">
        <f>"9783486840568"</f>
        <v>9783486840568</v>
      </c>
    </row>
    <row r="1807" spans="1:4" x14ac:dyDescent="0.25">
      <c r="A1807" s="7" t="s">
        <v>2254</v>
      </c>
      <c r="B1807" s="8" t="s">
        <v>2255</v>
      </c>
      <c r="C1807" s="8" t="s">
        <v>355</v>
      </c>
      <c r="D1807" s="8" t="str">
        <f>"9783486832945"</f>
        <v>9783486832945</v>
      </c>
    </row>
    <row r="1808" spans="1:4" ht="30" x14ac:dyDescent="0.25">
      <c r="A1808" s="7" t="s">
        <v>11613</v>
      </c>
      <c r="B1808" s="8" t="s">
        <v>11614</v>
      </c>
      <c r="C1808" s="8" t="s">
        <v>355</v>
      </c>
      <c r="D1808" s="8" t="str">
        <f>"9783110615463"</f>
        <v>9783110615463</v>
      </c>
    </row>
    <row r="1809" spans="1:4" x14ac:dyDescent="0.25">
      <c r="A1809" s="7" t="s">
        <v>8527</v>
      </c>
      <c r="B1809" s="8" t="s">
        <v>8528</v>
      </c>
      <c r="C1809" s="8" t="s">
        <v>993</v>
      </c>
      <c r="D1809" s="8" t="str">
        <f>"9783839455692"</f>
        <v>9783839455692</v>
      </c>
    </row>
    <row r="1810" spans="1:4" x14ac:dyDescent="0.25">
      <c r="A1810" s="7" t="s">
        <v>9792</v>
      </c>
      <c r="B1810" s="8" t="s">
        <v>9793</v>
      </c>
      <c r="C1810" s="8" t="s">
        <v>993</v>
      </c>
      <c r="D1810" s="8" t="str">
        <f>"9783839404874"</f>
        <v>9783839404874</v>
      </c>
    </row>
    <row r="1811" spans="1:4" x14ac:dyDescent="0.25">
      <c r="A1811" s="7" t="s">
        <v>12784</v>
      </c>
      <c r="B1811" s="8" t="s">
        <v>12785</v>
      </c>
      <c r="C1811" s="8" t="s">
        <v>12712</v>
      </c>
      <c r="D1811" s="8" t="str">
        <f>"9783428421480"</f>
        <v>9783428421480</v>
      </c>
    </row>
    <row r="1812" spans="1:4" x14ac:dyDescent="0.25">
      <c r="A1812" s="7" t="s">
        <v>7039</v>
      </c>
      <c r="B1812" s="8" t="s">
        <v>7040</v>
      </c>
      <c r="C1812" s="8" t="s">
        <v>355</v>
      </c>
      <c r="D1812" s="8" t="str">
        <f>"9783110622300"</f>
        <v>9783110622300</v>
      </c>
    </row>
    <row r="1813" spans="1:4" x14ac:dyDescent="0.25">
      <c r="A1813" s="7" t="s">
        <v>10282</v>
      </c>
      <c r="B1813" s="8" t="s">
        <v>10283</v>
      </c>
      <c r="C1813" s="8" t="s">
        <v>993</v>
      </c>
      <c r="D1813" s="8" t="str">
        <f>"9783839447574"</f>
        <v>9783839447574</v>
      </c>
    </row>
    <row r="1814" spans="1:4" x14ac:dyDescent="0.25">
      <c r="A1814" s="7" t="s">
        <v>11979</v>
      </c>
      <c r="B1814" s="8"/>
      <c r="C1814" s="8" t="s">
        <v>355</v>
      </c>
      <c r="D1814" s="8" t="str">
        <f>"9783111706849"</f>
        <v>9783111706849</v>
      </c>
    </row>
    <row r="1815" spans="1:4" ht="45" x14ac:dyDescent="0.25">
      <c r="A1815" s="7" t="s">
        <v>13158</v>
      </c>
      <c r="B1815" s="8" t="s">
        <v>13072</v>
      </c>
      <c r="C1815" s="8" t="s">
        <v>12712</v>
      </c>
      <c r="D1815" s="8" t="str">
        <f>"9783428573202"</f>
        <v>9783428573202</v>
      </c>
    </row>
    <row r="1816" spans="1:4" ht="45" x14ac:dyDescent="0.25">
      <c r="A1816" s="7" t="s">
        <v>13159</v>
      </c>
      <c r="B1816" s="8" t="s">
        <v>13072</v>
      </c>
      <c r="C1816" s="8" t="s">
        <v>12712</v>
      </c>
      <c r="D1816" s="8" t="str">
        <f>"9783428573219"</f>
        <v>9783428573219</v>
      </c>
    </row>
    <row r="1817" spans="1:4" ht="45" x14ac:dyDescent="0.25">
      <c r="A1817" s="7" t="s">
        <v>13160</v>
      </c>
      <c r="B1817" s="8" t="s">
        <v>13072</v>
      </c>
      <c r="C1817" s="8" t="s">
        <v>12712</v>
      </c>
      <c r="D1817" s="8" t="str">
        <f>"9783428573226"</f>
        <v>9783428573226</v>
      </c>
    </row>
    <row r="1818" spans="1:4" ht="30" x14ac:dyDescent="0.25">
      <c r="A1818" s="7" t="s">
        <v>12799</v>
      </c>
      <c r="B1818" s="8" t="s">
        <v>12800</v>
      </c>
      <c r="C1818" s="8" t="s">
        <v>12712</v>
      </c>
      <c r="D1818" s="8" t="str">
        <f>"9783428424573"</f>
        <v>9783428424573</v>
      </c>
    </row>
    <row r="1819" spans="1:4" ht="60" x14ac:dyDescent="0.25">
      <c r="A1819" s="7" t="s">
        <v>1147</v>
      </c>
      <c r="B1819" s="8" t="s">
        <v>21</v>
      </c>
      <c r="C1819" s="8" t="s">
        <v>316</v>
      </c>
      <c r="D1819" s="8" t="str">
        <f>"9783110869668"</f>
        <v>9783110869668</v>
      </c>
    </row>
    <row r="1820" spans="1:4" ht="30" x14ac:dyDescent="0.25">
      <c r="A1820" s="7" t="s">
        <v>1046</v>
      </c>
      <c r="B1820" s="8" t="s">
        <v>1047</v>
      </c>
      <c r="C1820" s="8" t="s">
        <v>355</v>
      </c>
      <c r="D1820" s="8" t="str">
        <f>"9783110443516"</f>
        <v>9783110443516</v>
      </c>
    </row>
    <row r="1821" spans="1:4" ht="30" x14ac:dyDescent="0.25">
      <c r="A1821" s="7" t="s">
        <v>764</v>
      </c>
      <c r="B1821" s="8" t="s">
        <v>765</v>
      </c>
      <c r="C1821" s="8" t="s">
        <v>355</v>
      </c>
      <c r="D1821" s="8" t="str">
        <f>"9783486719383"</f>
        <v>9783486719383</v>
      </c>
    </row>
    <row r="1822" spans="1:4" ht="60" x14ac:dyDescent="0.25">
      <c r="A1822" s="7" t="s">
        <v>1130</v>
      </c>
      <c r="B1822" s="8" t="s">
        <v>1077</v>
      </c>
      <c r="C1822" s="8" t="s">
        <v>316</v>
      </c>
      <c r="D1822" s="8" t="str">
        <f>"9783110888218"</f>
        <v>9783110888218</v>
      </c>
    </row>
    <row r="1823" spans="1:4" ht="30" x14ac:dyDescent="0.25">
      <c r="A1823" s="7" t="s">
        <v>460</v>
      </c>
      <c r="B1823" s="8" t="s">
        <v>461</v>
      </c>
      <c r="C1823" s="8" t="s">
        <v>316</v>
      </c>
      <c r="D1823" s="8" t="str">
        <f>"9783110262216"</f>
        <v>9783110262216</v>
      </c>
    </row>
    <row r="1824" spans="1:4" x14ac:dyDescent="0.25">
      <c r="A1824" s="7" t="s">
        <v>7509</v>
      </c>
      <c r="B1824" s="8" t="s">
        <v>7510</v>
      </c>
      <c r="C1824" s="8" t="s">
        <v>993</v>
      </c>
      <c r="D1824" s="8" t="str">
        <f>"9783839402931"</f>
        <v>9783839402931</v>
      </c>
    </row>
    <row r="1825" spans="1:4" x14ac:dyDescent="0.25">
      <c r="A1825" s="7" t="s">
        <v>11460</v>
      </c>
      <c r="B1825" s="8" t="s">
        <v>11461</v>
      </c>
      <c r="C1825" s="8" t="s">
        <v>355</v>
      </c>
      <c r="D1825" s="8" t="str">
        <f>"9783111590677"</f>
        <v>9783111590677</v>
      </c>
    </row>
    <row r="1826" spans="1:4" ht="30" x14ac:dyDescent="0.25">
      <c r="A1826" s="7" t="s">
        <v>522</v>
      </c>
      <c r="B1826" s="8" t="s">
        <v>523</v>
      </c>
      <c r="C1826" s="8" t="s">
        <v>316</v>
      </c>
      <c r="D1826" s="8" t="str">
        <f>"9783110895414"</f>
        <v>9783110895414</v>
      </c>
    </row>
    <row r="1827" spans="1:4" ht="30" x14ac:dyDescent="0.25">
      <c r="A1827" s="7" t="s">
        <v>12610</v>
      </c>
      <c r="B1827" s="8" t="s">
        <v>12611</v>
      </c>
      <c r="C1827" s="8" t="s">
        <v>5086</v>
      </c>
      <c r="D1827" s="8" t="str">
        <f>"9783658380267"</f>
        <v>9783658380267</v>
      </c>
    </row>
    <row r="1828" spans="1:4" ht="30" x14ac:dyDescent="0.25">
      <c r="A1828" s="7" t="s">
        <v>12813</v>
      </c>
      <c r="B1828" s="8" t="s">
        <v>12814</v>
      </c>
      <c r="C1828" s="8" t="s">
        <v>12712</v>
      </c>
      <c r="D1828" s="8" t="str">
        <f>"9783428426522"</f>
        <v>9783428426522</v>
      </c>
    </row>
    <row r="1829" spans="1:4" ht="30" x14ac:dyDescent="0.25">
      <c r="A1829" s="7" t="s">
        <v>9777</v>
      </c>
      <c r="B1829" s="8" t="s">
        <v>9778</v>
      </c>
      <c r="C1829" s="8" t="s">
        <v>993</v>
      </c>
      <c r="D1829" s="8" t="str">
        <f>"9783839404447"</f>
        <v>9783839404447</v>
      </c>
    </row>
    <row r="1830" spans="1:4" ht="60" x14ac:dyDescent="0.25">
      <c r="A1830" s="7" t="s">
        <v>13306</v>
      </c>
      <c r="B1830" s="8" t="s">
        <v>13297</v>
      </c>
      <c r="C1830" s="8" t="s">
        <v>12712</v>
      </c>
      <c r="D1830" s="8" t="str">
        <f>"9783428574650"</f>
        <v>9783428574650</v>
      </c>
    </row>
    <row r="1831" spans="1:4" x14ac:dyDescent="0.25">
      <c r="A1831" s="7" t="s">
        <v>9969</v>
      </c>
      <c r="B1831" s="8" t="s">
        <v>9970</v>
      </c>
      <c r="C1831" s="8" t="s">
        <v>993</v>
      </c>
      <c r="D1831" s="8" t="str">
        <f>"9783839409169"</f>
        <v>9783839409169</v>
      </c>
    </row>
    <row r="1832" spans="1:4" ht="30" x14ac:dyDescent="0.25">
      <c r="A1832" s="7" t="s">
        <v>11540</v>
      </c>
      <c r="B1832" s="8" t="s">
        <v>11541</v>
      </c>
      <c r="C1832" s="8" t="s">
        <v>355</v>
      </c>
      <c r="D1832" s="8" t="str">
        <f>"9783110667189"</f>
        <v>9783110667189</v>
      </c>
    </row>
    <row r="1833" spans="1:4" x14ac:dyDescent="0.25">
      <c r="A1833" s="7" t="s">
        <v>11315</v>
      </c>
      <c r="B1833" s="8" t="s">
        <v>11316</v>
      </c>
      <c r="C1833" s="8" t="s">
        <v>355</v>
      </c>
      <c r="D1833" s="8" t="str">
        <f>"9783111326887"</f>
        <v>9783111326887</v>
      </c>
    </row>
    <row r="1834" spans="1:4" x14ac:dyDescent="0.25">
      <c r="A1834" s="7" t="s">
        <v>8541</v>
      </c>
      <c r="B1834" s="8" t="s">
        <v>8542</v>
      </c>
      <c r="C1834" s="8" t="s">
        <v>993</v>
      </c>
      <c r="D1834" s="8" t="str">
        <f>"9783839454671"</f>
        <v>9783839454671</v>
      </c>
    </row>
    <row r="1835" spans="1:4" ht="45" x14ac:dyDescent="0.25">
      <c r="A1835" s="7" t="s">
        <v>1099</v>
      </c>
      <c r="B1835" s="8" t="s">
        <v>22</v>
      </c>
      <c r="C1835" s="8" t="s">
        <v>316</v>
      </c>
      <c r="D1835" s="8" t="str">
        <f>"9783110898156"</f>
        <v>9783110898156</v>
      </c>
    </row>
    <row r="1836" spans="1:4" ht="45" x14ac:dyDescent="0.25">
      <c r="A1836" s="7" t="s">
        <v>1123</v>
      </c>
      <c r="B1836" s="8" t="s">
        <v>20</v>
      </c>
      <c r="C1836" s="8" t="s">
        <v>316</v>
      </c>
      <c r="D1836" s="8" t="str">
        <f>"9783110921588"</f>
        <v>9783110921588</v>
      </c>
    </row>
    <row r="1837" spans="1:4" x14ac:dyDescent="0.25">
      <c r="A1837" s="7" t="s">
        <v>12063</v>
      </c>
      <c r="B1837" s="8" t="s">
        <v>12064</v>
      </c>
      <c r="C1837" s="8" t="s">
        <v>355</v>
      </c>
      <c r="D1837" s="8" t="str">
        <f>"9783486757248"</f>
        <v>9783486757248</v>
      </c>
    </row>
    <row r="1838" spans="1:4" ht="30" x14ac:dyDescent="0.25">
      <c r="A1838" s="7" t="s">
        <v>1211</v>
      </c>
      <c r="B1838" s="8" t="s">
        <v>1212</v>
      </c>
      <c r="C1838" s="8" t="s">
        <v>355</v>
      </c>
      <c r="D1838" s="8" t="str">
        <f>"9783486832846"</f>
        <v>9783486832846</v>
      </c>
    </row>
    <row r="1839" spans="1:4" ht="30" x14ac:dyDescent="0.25">
      <c r="A1839" s="7" t="s">
        <v>8361</v>
      </c>
      <c r="B1839" s="8" t="s">
        <v>8362</v>
      </c>
      <c r="C1839" s="8" t="s">
        <v>993</v>
      </c>
      <c r="D1839" s="8" t="str">
        <f>"9783839449967"</f>
        <v>9783839449967</v>
      </c>
    </row>
    <row r="1840" spans="1:4" x14ac:dyDescent="0.25">
      <c r="A1840" s="7" t="s">
        <v>10430</v>
      </c>
      <c r="B1840" s="8" t="s">
        <v>10431</v>
      </c>
      <c r="C1840" s="8" t="s">
        <v>993</v>
      </c>
      <c r="D1840" s="8" t="str">
        <f>"9783839456590"</f>
        <v>9783839456590</v>
      </c>
    </row>
    <row r="1841" spans="1:4" ht="30" x14ac:dyDescent="0.25">
      <c r="A1841" s="7" t="s">
        <v>7669</v>
      </c>
      <c r="B1841" s="8" t="s">
        <v>7670</v>
      </c>
      <c r="C1841" s="8" t="s">
        <v>993</v>
      </c>
      <c r="D1841" s="8" t="str">
        <f>"9783839426395"</f>
        <v>9783839426395</v>
      </c>
    </row>
    <row r="1842" spans="1:4" ht="30" x14ac:dyDescent="0.25">
      <c r="A1842" s="7" t="s">
        <v>13113</v>
      </c>
      <c r="B1842" s="8" t="s">
        <v>13072</v>
      </c>
      <c r="C1842" s="8" t="s">
        <v>12712</v>
      </c>
      <c r="D1842" s="8" t="str">
        <f>"9783428572823"</f>
        <v>9783428572823</v>
      </c>
    </row>
    <row r="1843" spans="1:4" ht="45" x14ac:dyDescent="0.25">
      <c r="A1843" s="7" t="s">
        <v>9533</v>
      </c>
      <c r="B1843" s="8" t="s">
        <v>9534</v>
      </c>
      <c r="C1843" s="8" t="s">
        <v>5086</v>
      </c>
      <c r="D1843" s="8" t="str">
        <f>"9783658368272"</f>
        <v>9783658368272</v>
      </c>
    </row>
    <row r="1844" spans="1:4" ht="30" x14ac:dyDescent="0.25">
      <c r="A1844" s="7" t="s">
        <v>11405</v>
      </c>
      <c r="B1844" s="8" t="s">
        <v>11406</v>
      </c>
      <c r="C1844" s="8" t="s">
        <v>355</v>
      </c>
      <c r="D1844" s="8" t="str">
        <f>"9783110722055"</f>
        <v>9783110722055</v>
      </c>
    </row>
    <row r="1845" spans="1:4" x14ac:dyDescent="0.25">
      <c r="A1845" s="7" t="s">
        <v>3870</v>
      </c>
      <c r="B1845" s="8" t="s">
        <v>3871</v>
      </c>
      <c r="C1845" s="8" t="s">
        <v>355</v>
      </c>
      <c r="D1845" s="8" t="str">
        <f>"9783110540147"</f>
        <v>9783110540147</v>
      </c>
    </row>
    <row r="1846" spans="1:4" x14ac:dyDescent="0.25">
      <c r="A1846" s="7" t="s">
        <v>7947</v>
      </c>
      <c r="B1846" s="8" t="s">
        <v>7948</v>
      </c>
      <c r="C1846" s="8" t="s">
        <v>1962</v>
      </c>
      <c r="D1846" s="8" t="str">
        <f>"9782759232376"</f>
        <v>9782759232376</v>
      </c>
    </row>
    <row r="1847" spans="1:4" ht="30" x14ac:dyDescent="0.25">
      <c r="A1847" s="7" t="s">
        <v>15513</v>
      </c>
      <c r="B1847" s="8" t="s">
        <v>15514</v>
      </c>
      <c r="C1847" s="8" t="s">
        <v>1865</v>
      </c>
      <c r="D1847" s="8" t="str">
        <f>"9789175197531"</f>
        <v>9789175197531</v>
      </c>
    </row>
    <row r="1848" spans="1:4" ht="30" x14ac:dyDescent="0.25">
      <c r="A1848" s="7" t="s">
        <v>14934</v>
      </c>
      <c r="B1848" s="8" t="s">
        <v>14935</v>
      </c>
      <c r="C1848" s="8" t="s">
        <v>1865</v>
      </c>
      <c r="D1848" s="8" t="str">
        <f>"9789175199337"</f>
        <v>9789175199337</v>
      </c>
    </row>
    <row r="1849" spans="1:4" ht="30" x14ac:dyDescent="0.25">
      <c r="A1849" s="7" t="s">
        <v>14420</v>
      </c>
      <c r="B1849" s="8" t="s">
        <v>14421</v>
      </c>
      <c r="C1849" s="8" t="s">
        <v>1865</v>
      </c>
      <c r="D1849" s="8" t="str">
        <f>"9789179291082"</f>
        <v>9789179291082</v>
      </c>
    </row>
    <row r="1850" spans="1:4" ht="30" x14ac:dyDescent="0.25">
      <c r="A1850" s="7" t="s">
        <v>14993</v>
      </c>
      <c r="B1850" s="8" t="s">
        <v>14994</v>
      </c>
      <c r="C1850" s="8" t="s">
        <v>1865</v>
      </c>
      <c r="D1850" s="8" t="str">
        <f>"9789175197906"</f>
        <v>9789175197906</v>
      </c>
    </row>
    <row r="1851" spans="1:4" x14ac:dyDescent="0.25">
      <c r="A1851" s="7" t="s">
        <v>15729</v>
      </c>
      <c r="B1851" s="8" t="s">
        <v>15730</v>
      </c>
      <c r="C1851" s="8" t="s">
        <v>1865</v>
      </c>
      <c r="D1851" s="8" t="str">
        <f>"9789175195049"</f>
        <v>9789175195049</v>
      </c>
    </row>
    <row r="1852" spans="1:4" x14ac:dyDescent="0.25">
      <c r="A1852" s="7" t="s">
        <v>6307</v>
      </c>
      <c r="B1852" s="8" t="s">
        <v>6308</v>
      </c>
      <c r="C1852" s="8" t="s">
        <v>2273</v>
      </c>
      <c r="D1852" s="8" t="str">
        <f>"9783030603960"</f>
        <v>9783030603960</v>
      </c>
    </row>
    <row r="1853" spans="1:4" x14ac:dyDescent="0.25">
      <c r="A1853" s="7" t="s">
        <v>13621</v>
      </c>
      <c r="B1853" s="8" t="s">
        <v>13622</v>
      </c>
      <c r="C1853" s="8" t="s">
        <v>2273</v>
      </c>
      <c r="D1853" s="8" t="str">
        <f>"9783031141867"</f>
        <v>9783031141867</v>
      </c>
    </row>
    <row r="1854" spans="1:4" x14ac:dyDescent="0.25">
      <c r="A1854" s="7" t="s">
        <v>15927</v>
      </c>
      <c r="B1854" s="8" t="s">
        <v>15928</v>
      </c>
      <c r="C1854" s="8" t="s">
        <v>1865</v>
      </c>
      <c r="D1854" s="8" t="str">
        <f>"9789176857458"</f>
        <v>9789176857458</v>
      </c>
    </row>
    <row r="1855" spans="1:4" ht="30" x14ac:dyDescent="0.25">
      <c r="A1855" s="7" t="s">
        <v>13532</v>
      </c>
      <c r="B1855" s="8" t="s">
        <v>13533</v>
      </c>
      <c r="C1855" s="8" t="s">
        <v>2273</v>
      </c>
      <c r="D1855" s="8" t="str">
        <f>"9783031137143"</f>
        <v>9783031137143</v>
      </c>
    </row>
    <row r="1856" spans="1:4" x14ac:dyDescent="0.25">
      <c r="A1856" s="7" t="s">
        <v>2140</v>
      </c>
      <c r="B1856" s="8" t="s">
        <v>2141</v>
      </c>
      <c r="C1856" s="8" t="s">
        <v>1865</v>
      </c>
      <c r="D1856" s="8" t="str">
        <f>"9789175190174"</f>
        <v>9789175190174</v>
      </c>
    </row>
    <row r="1857" spans="1:4" x14ac:dyDescent="0.25">
      <c r="A1857" s="7" t="s">
        <v>15316</v>
      </c>
      <c r="B1857" s="8" t="s">
        <v>15317</v>
      </c>
      <c r="C1857" s="8" t="s">
        <v>1865</v>
      </c>
      <c r="D1857" s="8" t="str">
        <f>"9789175191638"</f>
        <v>9789175191638</v>
      </c>
    </row>
    <row r="1858" spans="1:4" x14ac:dyDescent="0.25">
      <c r="A1858" s="7" t="s">
        <v>15600</v>
      </c>
      <c r="B1858" s="8" t="s">
        <v>15601</v>
      </c>
      <c r="C1858" s="8" t="s">
        <v>1865</v>
      </c>
      <c r="D1858" s="8" t="str">
        <f>"9789175198200"</f>
        <v>9789175198200</v>
      </c>
    </row>
    <row r="1859" spans="1:4" x14ac:dyDescent="0.25">
      <c r="A1859" s="7" t="s">
        <v>16188</v>
      </c>
      <c r="B1859" s="8" t="s">
        <v>16189</v>
      </c>
      <c r="C1859" s="8" t="s">
        <v>1865</v>
      </c>
      <c r="D1859" s="8" t="str">
        <f>"9789176856246"</f>
        <v>9789176856246</v>
      </c>
    </row>
    <row r="1860" spans="1:4" x14ac:dyDescent="0.25">
      <c r="A1860" s="7" t="s">
        <v>4746</v>
      </c>
      <c r="B1860" s="8" t="s">
        <v>4747</v>
      </c>
      <c r="C1860" s="8" t="s">
        <v>1865</v>
      </c>
      <c r="D1860" s="8" t="str">
        <f>"9789175190013"</f>
        <v>9789175190013</v>
      </c>
    </row>
    <row r="1861" spans="1:4" ht="30" x14ac:dyDescent="0.25">
      <c r="A1861" s="7" t="s">
        <v>2609</v>
      </c>
      <c r="B1861" s="8" t="s">
        <v>2610</v>
      </c>
      <c r="C1861" s="8" t="s">
        <v>1345</v>
      </c>
      <c r="D1861" s="8" t="str">
        <f>"9783862199419"</f>
        <v>9783862199419</v>
      </c>
    </row>
    <row r="1862" spans="1:4" ht="30" x14ac:dyDescent="0.25">
      <c r="A1862" s="7" t="s">
        <v>14422</v>
      </c>
      <c r="B1862" s="8" t="s">
        <v>9095</v>
      </c>
      <c r="C1862" s="8" t="s">
        <v>1865</v>
      </c>
      <c r="D1862" s="8" t="str">
        <f>"9789179297725"</f>
        <v>9789179297725</v>
      </c>
    </row>
    <row r="1863" spans="1:4" x14ac:dyDescent="0.25">
      <c r="A1863" s="7" t="s">
        <v>847</v>
      </c>
      <c r="B1863" s="8" t="s">
        <v>848</v>
      </c>
      <c r="C1863" s="8" t="s">
        <v>355</v>
      </c>
      <c r="D1863" s="8" t="str">
        <f>"9783110367669"</f>
        <v>9783110367669</v>
      </c>
    </row>
    <row r="1864" spans="1:4" x14ac:dyDescent="0.25">
      <c r="A1864" s="7" t="s">
        <v>10865</v>
      </c>
      <c r="B1864" s="8" t="s">
        <v>5929</v>
      </c>
      <c r="C1864" s="8" t="s">
        <v>2273</v>
      </c>
      <c r="D1864" s="8" t="str">
        <f>"9783030939755"</f>
        <v>9783030939755</v>
      </c>
    </row>
    <row r="1865" spans="1:4" ht="30" x14ac:dyDescent="0.25">
      <c r="A1865" s="7" t="s">
        <v>16074</v>
      </c>
      <c r="B1865" s="8" t="s">
        <v>16075</v>
      </c>
      <c r="C1865" s="8" t="s">
        <v>1865</v>
      </c>
      <c r="D1865" s="8" t="str">
        <f>"9789175199092"</f>
        <v>9789175199092</v>
      </c>
    </row>
    <row r="1866" spans="1:4" x14ac:dyDescent="0.25">
      <c r="A1866" s="7" t="s">
        <v>4962</v>
      </c>
      <c r="B1866" s="8" t="s">
        <v>4963</v>
      </c>
      <c r="C1866" s="8" t="s">
        <v>1865</v>
      </c>
      <c r="D1866" s="8" t="str">
        <f>"9789179298678"</f>
        <v>9789179298678</v>
      </c>
    </row>
    <row r="1867" spans="1:4" x14ac:dyDescent="0.25">
      <c r="A1867" s="7" t="s">
        <v>4711</v>
      </c>
      <c r="B1867" s="8" t="s">
        <v>4712</v>
      </c>
      <c r="C1867" s="8" t="s">
        <v>1865</v>
      </c>
      <c r="D1867" s="8" t="str">
        <f>"9789175190099"</f>
        <v>9789175190099</v>
      </c>
    </row>
    <row r="1868" spans="1:4" ht="30" x14ac:dyDescent="0.25">
      <c r="A1868" s="7" t="s">
        <v>15616</v>
      </c>
      <c r="B1868" s="8" t="s">
        <v>15617</v>
      </c>
      <c r="C1868" s="8" t="s">
        <v>1865</v>
      </c>
      <c r="D1868" s="8" t="str">
        <f>"9789176859902"</f>
        <v>9789176859902</v>
      </c>
    </row>
    <row r="1869" spans="1:4" x14ac:dyDescent="0.25">
      <c r="A1869" s="7" t="s">
        <v>15243</v>
      </c>
      <c r="B1869" s="8" t="s">
        <v>15244</v>
      </c>
      <c r="C1869" s="8" t="s">
        <v>1865</v>
      </c>
      <c r="D1869" s="8" t="str">
        <f>"9789175194868"</f>
        <v>9789175194868</v>
      </c>
    </row>
    <row r="1870" spans="1:4" ht="30" x14ac:dyDescent="0.25">
      <c r="A1870" s="7" t="s">
        <v>6787</v>
      </c>
      <c r="B1870" s="8" t="s">
        <v>6788</v>
      </c>
      <c r="C1870" s="8" t="s">
        <v>2273</v>
      </c>
      <c r="D1870" s="8" t="str">
        <f>"9783030663001"</f>
        <v>9783030663001</v>
      </c>
    </row>
    <row r="1871" spans="1:4" x14ac:dyDescent="0.25">
      <c r="A1871" s="7" t="s">
        <v>4980</v>
      </c>
      <c r="B1871" s="8" t="s">
        <v>4981</v>
      </c>
      <c r="C1871" s="8" t="s">
        <v>1865</v>
      </c>
      <c r="D1871" s="8" t="str">
        <f>"9789179298357"</f>
        <v>9789179298357</v>
      </c>
    </row>
    <row r="1872" spans="1:4" ht="30" x14ac:dyDescent="0.25">
      <c r="A1872" s="7" t="s">
        <v>7876</v>
      </c>
      <c r="B1872" s="8" t="s">
        <v>7877</v>
      </c>
      <c r="C1872" s="8" t="s">
        <v>1865</v>
      </c>
      <c r="D1872" s="8" t="str">
        <f>"9789179296049"</f>
        <v>9789179296049</v>
      </c>
    </row>
    <row r="1873" spans="1:4" ht="30" x14ac:dyDescent="0.25">
      <c r="A1873" s="7" t="s">
        <v>14749</v>
      </c>
      <c r="B1873" s="8" t="s">
        <v>14750</v>
      </c>
      <c r="C1873" s="8" t="s">
        <v>355</v>
      </c>
      <c r="D1873" s="8" t="str">
        <f>"9783111012698"</f>
        <v>9783111012698</v>
      </c>
    </row>
    <row r="1874" spans="1:4" x14ac:dyDescent="0.25">
      <c r="A1874" s="7" t="s">
        <v>440</v>
      </c>
      <c r="B1874" s="8" t="s">
        <v>441</v>
      </c>
      <c r="C1874" s="8" t="s">
        <v>227</v>
      </c>
      <c r="D1874" s="8" t="str">
        <f>"9781847790835"</f>
        <v>9781847790835</v>
      </c>
    </row>
    <row r="1875" spans="1:4" ht="30" x14ac:dyDescent="0.25">
      <c r="A1875" s="7" t="s">
        <v>15760</v>
      </c>
      <c r="B1875" s="8" t="s">
        <v>15761</v>
      </c>
      <c r="C1875" s="8" t="s">
        <v>1865</v>
      </c>
      <c r="D1875" s="8" t="str">
        <f>"9789176857236"</f>
        <v>9789176857236</v>
      </c>
    </row>
    <row r="1876" spans="1:4" ht="30" x14ac:dyDescent="0.25">
      <c r="A1876" s="7" t="s">
        <v>15785</v>
      </c>
      <c r="B1876" s="8" t="s">
        <v>15786</v>
      </c>
      <c r="C1876" s="8" t="s">
        <v>1865</v>
      </c>
      <c r="D1876" s="8" t="str">
        <f>"9789185895991"</f>
        <v>9789185895991</v>
      </c>
    </row>
    <row r="1877" spans="1:4" x14ac:dyDescent="0.25">
      <c r="A1877" s="7" t="s">
        <v>16199</v>
      </c>
      <c r="B1877" s="8" t="s">
        <v>15757</v>
      </c>
      <c r="C1877" s="8" t="s">
        <v>1865</v>
      </c>
      <c r="D1877" s="8" t="str">
        <f>"9789175197043"</f>
        <v>9789175197043</v>
      </c>
    </row>
    <row r="1878" spans="1:4" x14ac:dyDescent="0.25">
      <c r="A1878" s="7" t="s">
        <v>16269</v>
      </c>
      <c r="B1878" s="8" t="s">
        <v>4743</v>
      </c>
      <c r="C1878" s="8" t="s">
        <v>1865</v>
      </c>
      <c r="D1878" s="8" t="str">
        <f>"9789176857892"</f>
        <v>9789176857892</v>
      </c>
    </row>
    <row r="1879" spans="1:4" ht="30" x14ac:dyDescent="0.25">
      <c r="A1879" s="7" t="s">
        <v>2422</v>
      </c>
      <c r="B1879" s="8" t="s">
        <v>2423</v>
      </c>
      <c r="C1879" s="8" t="s">
        <v>1865</v>
      </c>
      <c r="D1879" s="8" t="str">
        <f>"9789175190297"</f>
        <v>9789175190297</v>
      </c>
    </row>
    <row r="1880" spans="1:4" x14ac:dyDescent="0.25">
      <c r="A1880" s="7" t="s">
        <v>1331</v>
      </c>
      <c r="B1880" s="8" t="s">
        <v>1333</v>
      </c>
      <c r="C1880" s="8" t="s">
        <v>1332</v>
      </c>
      <c r="D1880" s="8" t="str">
        <f>"9781780401096"</f>
        <v>9781780401096</v>
      </c>
    </row>
    <row r="1881" spans="1:4" x14ac:dyDescent="0.25">
      <c r="A1881" s="7" t="s">
        <v>12937</v>
      </c>
      <c r="B1881" s="8" t="s">
        <v>12938</v>
      </c>
      <c r="C1881" s="8" t="s">
        <v>12712</v>
      </c>
      <c r="D1881" s="8" t="str">
        <f>"9783428453306"</f>
        <v>9783428453306</v>
      </c>
    </row>
    <row r="1882" spans="1:4" ht="30" x14ac:dyDescent="0.25">
      <c r="A1882" s="7" t="s">
        <v>1517</v>
      </c>
      <c r="B1882" s="8" t="s">
        <v>1518</v>
      </c>
      <c r="C1882" s="8" t="s">
        <v>1345</v>
      </c>
      <c r="D1882" s="8" t="str">
        <f>"9783862192113"</f>
        <v>9783862192113</v>
      </c>
    </row>
    <row r="1883" spans="1:4" x14ac:dyDescent="0.25">
      <c r="A1883" s="7" t="s">
        <v>4836</v>
      </c>
      <c r="B1883" s="8" t="s">
        <v>4837</v>
      </c>
      <c r="C1883" s="8" t="s">
        <v>1865</v>
      </c>
      <c r="D1883" s="8" t="str">
        <f>"9789179299224"</f>
        <v>9789179299224</v>
      </c>
    </row>
    <row r="1884" spans="1:4" ht="30" x14ac:dyDescent="0.25">
      <c r="A1884" s="7" t="s">
        <v>1571</v>
      </c>
      <c r="B1884" s="8" t="s">
        <v>1572</v>
      </c>
      <c r="C1884" s="8" t="s">
        <v>1345</v>
      </c>
      <c r="D1884" s="8" t="str">
        <f>"9783862192991"</f>
        <v>9783862192991</v>
      </c>
    </row>
    <row r="1885" spans="1:4" x14ac:dyDescent="0.25">
      <c r="A1885" s="7" t="s">
        <v>4279</v>
      </c>
      <c r="B1885" s="8" t="s">
        <v>4280</v>
      </c>
      <c r="C1885" s="8" t="s">
        <v>1345</v>
      </c>
      <c r="D1885" s="8" t="str">
        <f>"9783737603454"</f>
        <v>9783737603454</v>
      </c>
    </row>
    <row r="1886" spans="1:4" x14ac:dyDescent="0.25">
      <c r="A1886" s="7" t="s">
        <v>1575</v>
      </c>
      <c r="B1886" s="8" t="s">
        <v>1576</v>
      </c>
      <c r="C1886" s="8" t="s">
        <v>1345</v>
      </c>
      <c r="D1886" s="8" t="str">
        <f>"9783862193158"</f>
        <v>9783862193158</v>
      </c>
    </row>
    <row r="1887" spans="1:4" x14ac:dyDescent="0.25">
      <c r="A1887" s="7" t="s">
        <v>11943</v>
      </c>
      <c r="B1887" s="8" t="s">
        <v>11944</v>
      </c>
      <c r="C1887" s="8" t="s">
        <v>355</v>
      </c>
      <c r="D1887" s="8" t="str">
        <f>"9783110622522"</f>
        <v>9783110622522</v>
      </c>
    </row>
    <row r="1888" spans="1:4" x14ac:dyDescent="0.25">
      <c r="A1888" s="7" t="s">
        <v>11784</v>
      </c>
      <c r="B1888" s="8" t="s">
        <v>11785</v>
      </c>
      <c r="C1888" s="8" t="s">
        <v>355</v>
      </c>
      <c r="D1888" s="8" t="str">
        <f>"9783110622478"</f>
        <v>9783110622478</v>
      </c>
    </row>
    <row r="1889" spans="1:4" x14ac:dyDescent="0.25">
      <c r="A1889" s="7" t="s">
        <v>6054</v>
      </c>
      <c r="B1889" s="8" t="s">
        <v>6055</v>
      </c>
      <c r="C1889" s="8" t="s">
        <v>5134</v>
      </c>
      <c r="D1889" s="8" t="str">
        <f>"9783662562703"</f>
        <v>9783662562703</v>
      </c>
    </row>
    <row r="1890" spans="1:4" x14ac:dyDescent="0.25">
      <c r="A1890" s="7" t="s">
        <v>11291</v>
      </c>
      <c r="B1890" s="8" t="s">
        <v>11292</v>
      </c>
      <c r="C1890" s="8" t="s">
        <v>355</v>
      </c>
      <c r="D1890" s="8" t="str">
        <f>"9783110622690"</f>
        <v>9783110622690</v>
      </c>
    </row>
    <row r="1891" spans="1:4" x14ac:dyDescent="0.25">
      <c r="A1891" s="7" t="s">
        <v>11498</v>
      </c>
      <c r="B1891" s="8" t="s">
        <v>11292</v>
      </c>
      <c r="C1891" s="8" t="s">
        <v>355</v>
      </c>
      <c r="D1891" s="8" t="str">
        <f>"9783110622423"</f>
        <v>9783110622423</v>
      </c>
    </row>
    <row r="1892" spans="1:4" x14ac:dyDescent="0.25">
      <c r="A1892" s="7" t="s">
        <v>11854</v>
      </c>
      <c r="B1892" s="8" t="s">
        <v>11855</v>
      </c>
      <c r="C1892" s="8" t="s">
        <v>355</v>
      </c>
      <c r="D1892" s="8" t="str">
        <f>"9783110446593"</f>
        <v>9783110446593</v>
      </c>
    </row>
    <row r="1893" spans="1:4" x14ac:dyDescent="0.25">
      <c r="A1893" s="7" t="s">
        <v>1192</v>
      </c>
      <c r="B1893" s="8" t="s">
        <v>1193</v>
      </c>
      <c r="C1893" s="8" t="s">
        <v>355</v>
      </c>
      <c r="D1893" s="8" t="str">
        <f>"9783486707632"</f>
        <v>9783486707632</v>
      </c>
    </row>
    <row r="1894" spans="1:4" x14ac:dyDescent="0.25">
      <c r="A1894" s="7" t="s">
        <v>1215</v>
      </c>
      <c r="B1894" s="8" t="s">
        <v>1216</v>
      </c>
      <c r="C1894" s="8" t="s">
        <v>355</v>
      </c>
      <c r="D1894" s="8" t="str">
        <f>"9783486834185"</f>
        <v>9783486834185</v>
      </c>
    </row>
    <row r="1895" spans="1:4" ht="30" x14ac:dyDescent="0.25">
      <c r="A1895" s="7" t="s">
        <v>2706</v>
      </c>
      <c r="B1895" s="8" t="s">
        <v>2707</v>
      </c>
      <c r="C1895" s="8" t="s">
        <v>1345</v>
      </c>
      <c r="D1895" s="8" t="str">
        <f>"9783737601313"</f>
        <v>9783737601313</v>
      </c>
    </row>
    <row r="1896" spans="1:4" ht="30" x14ac:dyDescent="0.25">
      <c r="A1896" s="7" t="s">
        <v>13012</v>
      </c>
      <c r="B1896" s="8" t="s">
        <v>13007</v>
      </c>
      <c r="C1896" s="8" t="s">
        <v>12712</v>
      </c>
      <c r="D1896" s="8" t="str">
        <f>"9783428466481"</f>
        <v>9783428466481</v>
      </c>
    </row>
    <row r="1897" spans="1:4" x14ac:dyDescent="0.25">
      <c r="A1897" s="7" t="s">
        <v>11956</v>
      </c>
      <c r="B1897" s="8" t="s">
        <v>11957</v>
      </c>
      <c r="C1897" s="8" t="s">
        <v>355</v>
      </c>
      <c r="D1897" s="8" t="str">
        <f>"9783110622447"</f>
        <v>9783110622447</v>
      </c>
    </row>
    <row r="1898" spans="1:4" x14ac:dyDescent="0.25">
      <c r="A1898" s="7" t="s">
        <v>7154</v>
      </c>
      <c r="B1898" s="8" t="s">
        <v>7155</v>
      </c>
      <c r="C1898" s="8" t="s">
        <v>355</v>
      </c>
      <c r="D1898" s="8" t="str">
        <f>"9783110623833"</f>
        <v>9783110623833</v>
      </c>
    </row>
    <row r="1899" spans="1:4" ht="45" x14ac:dyDescent="0.25">
      <c r="A1899" s="7" t="s">
        <v>1152</v>
      </c>
      <c r="B1899" s="8" t="s">
        <v>30</v>
      </c>
      <c r="C1899" s="8" t="s">
        <v>316</v>
      </c>
      <c r="D1899" s="8" t="str">
        <f>"9783110873344"</f>
        <v>9783110873344</v>
      </c>
    </row>
    <row r="1900" spans="1:4" ht="30" x14ac:dyDescent="0.25">
      <c r="A1900" s="7" t="s">
        <v>12721</v>
      </c>
      <c r="B1900" s="8" t="s">
        <v>12722</v>
      </c>
      <c r="C1900" s="8" t="s">
        <v>12712</v>
      </c>
      <c r="D1900" s="8" t="str">
        <f>"9783428403080"</f>
        <v>9783428403080</v>
      </c>
    </row>
    <row r="1901" spans="1:4" x14ac:dyDescent="0.25">
      <c r="A1901" s="7" t="s">
        <v>516</v>
      </c>
      <c r="B1901" s="8" t="s">
        <v>517</v>
      </c>
      <c r="C1901" s="8" t="s">
        <v>316</v>
      </c>
      <c r="D1901" s="8" t="str">
        <f>"9783110296433"</f>
        <v>9783110296433</v>
      </c>
    </row>
    <row r="1902" spans="1:4" ht="30" x14ac:dyDescent="0.25">
      <c r="A1902" s="7" t="s">
        <v>11716</v>
      </c>
      <c r="B1902" s="8" t="s">
        <v>11717</v>
      </c>
      <c r="C1902" s="8" t="s">
        <v>355</v>
      </c>
      <c r="D1902" s="8" t="str">
        <f>"9783486743753"</f>
        <v>9783486743753</v>
      </c>
    </row>
    <row r="1903" spans="1:4" ht="30" x14ac:dyDescent="0.25">
      <c r="A1903" s="7" t="s">
        <v>12365</v>
      </c>
      <c r="B1903" s="8" t="s">
        <v>12366</v>
      </c>
      <c r="C1903" s="8" t="s">
        <v>993</v>
      </c>
      <c r="D1903" s="8" t="str">
        <f>"9783839464267"</f>
        <v>9783839464267</v>
      </c>
    </row>
    <row r="1904" spans="1:4" ht="45" x14ac:dyDescent="0.25">
      <c r="A1904" s="7" t="s">
        <v>770</v>
      </c>
      <c r="B1904" s="8" t="s">
        <v>771</v>
      </c>
      <c r="C1904" s="8" t="s">
        <v>355</v>
      </c>
      <c r="D1904" s="8" t="str">
        <f>"9783110339789"</f>
        <v>9783110339789</v>
      </c>
    </row>
    <row r="1905" spans="1:4" ht="45" x14ac:dyDescent="0.25">
      <c r="A1905" s="7" t="s">
        <v>774</v>
      </c>
      <c r="B1905" s="8" t="s">
        <v>771</v>
      </c>
      <c r="C1905" s="8" t="s">
        <v>316</v>
      </c>
      <c r="D1905" s="8" t="str">
        <f>"9783110301342"</f>
        <v>9783110301342</v>
      </c>
    </row>
    <row r="1906" spans="1:4" ht="30" x14ac:dyDescent="0.25">
      <c r="A1906" s="7" t="s">
        <v>1087</v>
      </c>
      <c r="B1906" s="8" t="s">
        <v>1088</v>
      </c>
      <c r="C1906" s="8" t="s">
        <v>316</v>
      </c>
      <c r="D1906" s="8" t="str">
        <f>"9783110894936"</f>
        <v>9783110894936</v>
      </c>
    </row>
    <row r="1907" spans="1:4" x14ac:dyDescent="0.25">
      <c r="A1907" s="7" t="s">
        <v>14877</v>
      </c>
      <c r="B1907" s="8" t="s">
        <v>14878</v>
      </c>
      <c r="C1907" s="8" t="s">
        <v>1865</v>
      </c>
      <c r="D1907" s="8" t="str">
        <f>"9789176857038"</f>
        <v>9789176857038</v>
      </c>
    </row>
    <row r="1908" spans="1:4" x14ac:dyDescent="0.25">
      <c r="A1908" s="7" t="s">
        <v>1409</v>
      </c>
      <c r="B1908" s="8" t="s">
        <v>1410</v>
      </c>
      <c r="C1908" s="8" t="s">
        <v>1345</v>
      </c>
      <c r="D1908" s="8" t="str">
        <f>"9783899589795"</f>
        <v>9783899589795</v>
      </c>
    </row>
    <row r="1909" spans="1:4" ht="30" x14ac:dyDescent="0.25">
      <c r="A1909" s="7" t="s">
        <v>14926</v>
      </c>
      <c r="B1909" s="8" t="s">
        <v>14927</v>
      </c>
      <c r="C1909" s="8" t="s">
        <v>1865</v>
      </c>
      <c r="D1909" s="8" t="str">
        <f>"9789175198415"</f>
        <v>9789175198415</v>
      </c>
    </row>
    <row r="1910" spans="1:4" ht="30" x14ac:dyDescent="0.25">
      <c r="A1910" s="7" t="s">
        <v>11789</v>
      </c>
      <c r="B1910" s="8" t="s">
        <v>11790</v>
      </c>
      <c r="C1910" s="8" t="s">
        <v>355</v>
      </c>
      <c r="D1910" s="8" t="str">
        <f>"9783110681017"</f>
        <v>9783110681017</v>
      </c>
    </row>
    <row r="1911" spans="1:4" ht="30" x14ac:dyDescent="0.25">
      <c r="A1911" s="7" t="s">
        <v>14698</v>
      </c>
      <c r="B1911" s="8" t="s">
        <v>14699</v>
      </c>
      <c r="C1911" s="8" t="s">
        <v>1865</v>
      </c>
      <c r="D1911" s="8" t="str">
        <f>"9789179291143"</f>
        <v>9789179291143</v>
      </c>
    </row>
    <row r="1912" spans="1:4" ht="30" x14ac:dyDescent="0.25">
      <c r="A1912" s="7" t="s">
        <v>14466</v>
      </c>
      <c r="B1912" s="8" t="s">
        <v>14467</v>
      </c>
      <c r="C1912" s="8" t="s">
        <v>1865</v>
      </c>
      <c r="D1912" s="8" t="str">
        <f>"9789179294397"</f>
        <v>9789179294397</v>
      </c>
    </row>
    <row r="1913" spans="1:4" ht="30" x14ac:dyDescent="0.25">
      <c r="A1913" s="7" t="s">
        <v>8698</v>
      </c>
      <c r="B1913" s="8" t="s">
        <v>8699</v>
      </c>
      <c r="C1913" s="8" t="s">
        <v>1865</v>
      </c>
      <c r="D1913" s="8" t="str">
        <f>"9789179290566"</f>
        <v>9789179290566</v>
      </c>
    </row>
    <row r="1914" spans="1:4" x14ac:dyDescent="0.25">
      <c r="A1914" s="7" t="s">
        <v>14164</v>
      </c>
      <c r="B1914" s="8" t="s">
        <v>14165</v>
      </c>
      <c r="C1914" s="8" t="s">
        <v>2273</v>
      </c>
      <c r="D1914" s="8" t="str">
        <f>"9783031116582"</f>
        <v>9783031116582</v>
      </c>
    </row>
    <row r="1915" spans="1:4" x14ac:dyDescent="0.25">
      <c r="A1915" s="7" t="s">
        <v>6722</v>
      </c>
      <c r="B1915" s="8" t="s">
        <v>6723</v>
      </c>
      <c r="C1915" s="8" t="s">
        <v>2082</v>
      </c>
      <c r="D1915" s="8" t="str">
        <f>"9780472901036"</f>
        <v>9780472901036</v>
      </c>
    </row>
    <row r="1916" spans="1:4" ht="30" x14ac:dyDescent="0.25">
      <c r="A1916" s="7" t="s">
        <v>1407</v>
      </c>
      <c r="B1916" s="8" t="s">
        <v>1408</v>
      </c>
      <c r="C1916" s="8" t="s">
        <v>1345</v>
      </c>
      <c r="D1916" s="8" t="str">
        <f>"9783899586435"</f>
        <v>9783899586435</v>
      </c>
    </row>
    <row r="1917" spans="1:4" x14ac:dyDescent="0.25">
      <c r="A1917" s="7" t="s">
        <v>9531</v>
      </c>
      <c r="B1917" s="8" t="s">
        <v>9532</v>
      </c>
      <c r="C1917" s="8" t="s">
        <v>1865</v>
      </c>
      <c r="D1917" s="8" t="str">
        <f>"9789179291938"</f>
        <v>9789179291938</v>
      </c>
    </row>
    <row r="1918" spans="1:4" ht="30" x14ac:dyDescent="0.25">
      <c r="A1918" s="7" t="s">
        <v>3098</v>
      </c>
      <c r="B1918" s="8" t="s">
        <v>3099</v>
      </c>
      <c r="C1918" s="8" t="s">
        <v>1865</v>
      </c>
      <c r="D1918" s="8" t="str">
        <f>"9789176855430"</f>
        <v>9789176855430</v>
      </c>
    </row>
    <row r="1919" spans="1:4" ht="30" x14ac:dyDescent="0.25">
      <c r="A1919" s="7" t="s">
        <v>8735</v>
      </c>
      <c r="B1919" s="8" t="s">
        <v>8736</v>
      </c>
      <c r="C1919" s="8" t="s">
        <v>5083</v>
      </c>
      <c r="D1919" s="8" t="str">
        <f>"9783658359263"</f>
        <v>9783658359263</v>
      </c>
    </row>
    <row r="1920" spans="1:4" ht="30" x14ac:dyDescent="0.25">
      <c r="A1920" s="7" t="s">
        <v>5242</v>
      </c>
      <c r="B1920" s="8" t="s">
        <v>5243</v>
      </c>
      <c r="C1920" s="8" t="s">
        <v>1865</v>
      </c>
      <c r="D1920" s="8" t="str">
        <f>"9789179297930"</f>
        <v>9789179297930</v>
      </c>
    </row>
    <row r="1921" spans="1:4" x14ac:dyDescent="0.25">
      <c r="A1921" s="7" t="s">
        <v>1369</v>
      </c>
      <c r="B1921" s="8" t="s">
        <v>1370</v>
      </c>
      <c r="C1921" s="8" t="s">
        <v>1345</v>
      </c>
      <c r="D1921" s="8" t="str">
        <f>""</f>
        <v/>
      </c>
    </row>
    <row r="1922" spans="1:4" ht="30" x14ac:dyDescent="0.25">
      <c r="A1922" s="7" t="s">
        <v>4012</v>
      </c>
      <c r="B1922" s="8" t="s">
        <v>4013</v>
      </c>
      <c r="C1922" s="8" t="s">
        <v>1345</v>
      </c>
      <c r="D1922" s="8" t="str">
        <f>"9783737605175"</f>
        <v>9783737605175</v>
      </c>
    </row>
    <row r="1923" spans="1:4" ht="30" x14ac:dyDescent="0.25">
      <c r="A1923" s="7" t="s">
        <v>3329</v>
      </c>
      <c r="B1923" s="8" t="s">
        <v>3330</v>
      </c>
      <c r="C1923" s="8" t="s">
        <v>1345</v>
      </c>
      <c r="D1923" s="8" t="str">
        <f>"9783737603478"</f>
        <v>9783737603478</v>
      </c>
    </row>
    <row r="1924" spans="1:4" ht="45" x14ac:dyDescent="0.25">
      <c r="A1924" s="7" t="s">
        <v>2126</v>
      </c>
      <c r="B1924" s="8" t="s">
        <v>2127</v>
      </c>
      <c r="C1924" s="8" t="s">
        <v>1865</v>
      </c>
      <c r="D1924" s="8" t="str">
        <f>"9789175190938"</f>
        <v>9789175190938</v>
      </c>
    </row>
    <row r="1925" spans="1:4" ht="30" x14ac:dyDescent="0.25">
      <c r="A1925" s="7" t="s">
        <v>1727</v>
      </c>
      <c r="B1925" s="8" t="s">
        <v>1728</v>
      </c>
      <c r="C1925" s="8" t="s">
        <v>1345</v>
      </c>
      <c r="D1925" s="8" t="str">
        <f>"9783862190195"</f>
        <v>9783862190195</v>
      </c>
    </row>
    <row r="1926" spans="1:4" ht="30" x14ac:dyDescent="0.25">
      <c r="A1926" s="7" t="s">
        <v>6839</v>
      </c>
      <c r="B1926" s="8" t="s">
        <v>6840</v>
      </c>
      <c r="C1926" s="8" t="s">
        <v>1865</v>
      </c>
      <c r="D1926" s="8" t="str">
        <f>"9789179296766"</f>
        <v>9789179296766</v>
      </c>
    </row>
    <row r="1927" spans="1:4" x14ac:dyDescent="0.25">
      <c r="A1927" s="7" t="s">
        <v>3335</v>
      </c>
      <c r="B1927" s="8" t="s">
        <v>3336</v>
      </c>
      <c r="C1927" s="8" t="s">
        <v>1345</v>
      </c>
      <c r="D1927" s="8" t="str">
        <f>"9783737603751"</f>
        <v>9783737603751</v>
      </c>
    </row>
    <row r="1928" spans="1:4" x14ac:dyDescent="0.25">
      <c r="A1928" s="7" t="s">
        <v>10649</v>
      </c>
      <c r="B1928" s="8" t="s">
        <v>10650</v>
      </c>
      <c r="C1928" s="8" t="s">
        <v>1865</v>
      </c>
      <c r="D1928" s="8" t="str">
        <f>"9789179293451"</f>
        <v>9789179293451</v>
      </c>
    </row>
    <row r="1929" spans="1:4" x14ac:dyDescent="0.25">
      <c r="A1929" s="7" t="s">
        <v>14825</v>
      </c>
      <c r="B1929" s="8" t="s">
        <v>14826</v>
      </c>
      <c r="C1929" s="8" t="s">
        <v>1865</v>
      </c>
      <c r="D1929" s="8" t="str">
        <f>"9789175198835"</f>
        <v>9789175198835</v>
      </c>
    </row>
    <row r="1930" spans="1:4" ht="30" x14ac:dyDescent="0.25">
      <c r="A1930" s="7" t="s">
        <v>15489</v>
      </c>
      <c r="B1930" s="8" t="s">
        <v>15490</v>
      </c>
      <c r="C1930" s="8" t="s">
        <v>1865</v>
      </c>
      <c r="D1930" s="8" t="str">
        <f>"9789175198088"</f>
        <v>9789175198088</v>
      </c>
    </row>
    <row r="1931" spans="1:4" x14ac:dyDescent="0.25">
      <c r="A1931" s="7" t="s">
        <v>4171</v>
      </c>
      <c r="B1931" s="8" t="s">
        <v>4172</v>
      </c>
      <c r="C1931" s="8" t="s">
        <v>1865</v>
      </c>
      <c r="D1931" s="8" t="str">
        <f>"9789176852071"</f>
        <v>9789176852071</v>
      </c>
    </row>
    <row r="1932" spans="1:4" x14ac:dyDescent="0.25">
      <c r="A1932" s="7" t="s">
        <v>16140</v>
      </c>
      <c r="B1932" s="8" t="s">
        <v>16141</v>
      </c>
      <c r="C1932" s="8" t="s">
        <v>1865</v>
      </c>
      <c r="D1932" s="8" t="str">
        <f>"9789176856826"</f>
        <v>9789176856826</v>
      </c>
    </row>
    <row r="1933" spans="1:4" x14ac:dyDescent="0.25">
      <c r="A1933" s="7" t="s">
        <v>2791</v>
      </c>
      <c r="B1933" s="8" t="s">
        <v>2792</v>
      </c>
      <c r="C1933" s="8" t="s">
        <v>1865</v>
      </c>
      <c r="D1933" s="8" t="str">
        <f>"9789176856932"</f>
        <v>9789176856932</v>
      </c>
    </row>
    <row r="1934" spans="1:4" x14ac:dyDescent="0.25">
      <c r="A1934" s="7" t="s">
        <v>7018</v>
      </c>
      <c r="B1934" s="8" t="s">
        <v>7019</v>
      </c>
      <c r="C1934" s="8" t="s">
        <v>329</v>
      </c>
      <c r="D1934" s="8" t="str">
        <f>"9789048544271"</f>
        <v>9789048544271</v>
      </c>
    </row>
    <row r="1935" spans="1:4" x14ac:dyDescent="0.25">
      <c r="A1935" s="7" t="s">
        <v>6080</v>
      </c>
      <c r="B1935" s="8" t="s">
        <v>6081</v>
      </c>
      <c r="C1935" s="8" t="s">
        <v>2273</v>
      </c>
      <c r="D1935" s="8" t="str">
        <f>"9783319607146"</f>
        <v>9783319607146</v>
      </c>
    </row>
    <row r="1936" spans="1:4" x14ac:dyDescent="0.25">
      <c r="A1936" s="7" t="s">
        <v>5225</v>
      </c>
      <c r="B1936" s="8" t="s">
        <v>5226</v>
      </c>
      <c r="C1936" s="8" t="s">
        <v>2273</v>
      </c>
      <c r="D1936" s="8" t="str">
        <f>"9783030424725"</f>
        <v>9783030424725</v>
      </c>
    </row>
    <row r="1937" spans="1:4" x14ac:dyDescent="0.25">
      <c r="A1937" s="7" t="s">
        <v>2656</v>
      </c>
      <c r="B1937" s="8" t="s">
        <v>2657</v>
      </c>
      <c r="C1937" s="8" t="s">
        <v>1962</v>
      </c>
      <c r="D1937" s="8" t="str">
        <f>"9782759224760"</f>
        <v>9782759224760</v>
      </c>
    </row>
    <row r="1938" spans="1:4" x14ac:dyDescent="0.25">
      <c r="A1938" s="7" t="s">
        <v>12491</v>
      </c>
      <c r="B1938" s="8" t="s">
        <v>12492</v>
      </c>
      <c r="C1938" s="8" t="s">
        <v>1962</v>
      </c>
      <c r="D1938" s="8" t="str">
        <f>"9782759235124"</f>
        <v>9782759235124</v>
      </c>
    </row>
    <row r="1939" spans="1:4" x14ac:dyDescent="0.25">
      <c r="A1939" s="7" t="s">
        <v>1657</v>
      </c>
      <c r="B1939" s="8" t="s">
        <v>1658</v>
      </c>
      <c r="C1939" s="8" t="s">
        <v>1345</v>
      </c>
      <c r="D1939" s="8" t="str">
        <f>"9783862193653"</f>
        <v>9783862193653</v>
      </c>
    </row>
    <row r="1940" spans="1:4" x14ac:dyDescent="0.25">
      <c r="A1940" s="7" t="s">
        <v>12947</v>
      </c>
      <c r="B1940" s="8" t="s">
        <v>12908</v>
      </c>
      <c r="C1940" s="8" t="s">
        <v>12712</v>
      </c>
      <c r="D1940" s="8" t="str">
        <f>"9783428456048"</f>
        <v>9783428456048</v>
      </c>
    </row>
    <row r="1941" spans="1:4" x14ac:dyDescent="0.25">
      <c r="A1941" s="7" t="s">
        <v>15957</v>
      </c>
      <c r="B1941" s="8" t="s">
        <v>15958</v>
      </c>
      <c r="C1941" s="8" t="s">
        <v>1865</v>
      </c>
      <c r="D1941" s="8" t="str">
        <f>"9789180750813"</f>
        <v>9789180750813</v>
      </c>
    </row>
    <row r="1942" spans="1:4" ht="30" x14ac:dyDescent="0.25">
      <c r="A1942" s="7" t="s">
        <v>5776</v>
      </c>
      <c r="B1942" s="8" t="s">
        <v>5777</v>
      </c>
      <c r="C1942" s="8" t="s">
        <v>5484</v>
      </c>
      <c r="D1942" s="8" t="str">
        <f>"9781484218426"</f>
        <v>9781484218426</v>
      </c>
    </row>
    <row r="1943" spans="1:4" x14ac:dyDescent="0.25">
      <c r="A1943" s="7" t="s">
        <v>3626</v>
      </c>
      <c r="B1943" s="8" t="s">
        <v>3627</v>
      </c>
      <c r="C1943" s="8" t="s">
        <v>1345</v>
      </c>
      <c r="D1943" s="8" t="str">
        <f>"9783737604710"</f>
        <v>9783737604710</v>
      </c>
    </row>
    <row r="1944" spans="1:4" ht="30" x14ac:dyDescent="0.25">
      <c r="A1944" s="7" t="s">
        <v>14374</v>
      </c>
      <c r="B1944" s="8" t="s">
        <v>14375</v>
      </c>
      <c r="C1944" s="8" t="s">
        <v>1879</v>
      </c>
      <c r="D1944" s="8" t="str">
        <f>"9781800647244"</f>
        <v>9781800647244</v>
      </c>
    </row>
    <row r="1945" spans="1:4" x14ac:dyDescent="0.25">
      <c r="A1945" s="7" t="s">
        <v>14788</v>
      </c>
      <c r="B1945" s="8" t="s">
        <v>14789</v>
      </c>
      <c r="C1945" s="8" t="s">
        <v>1865</v>
      </c>
      <c r="D1945" s="8" t="str">
        <f>"9789175196527"</f>
        <v>9789175196527</v>
      </c>
    </row>
    <row r="1946" spans="1:4" x14ac:dyDescent="0.25">
      <c r="A1946" s="7" t="s">
        <v>10249</v>
      </c>
      <c r="B1946" s="8" t="s">
        <v>10250</v>
      </c>
      <c r="C1946" s="8" t="s">
        <v>993</v>
      </c>
      <c r="D1946" s="8" t="str">
        <f>"9783839446140"</f>
        <v>9783839446140</v>
      </c>
    </row>
    <row r="1947" spans="1:4" ht="45" x14ac:dyDescent="0.25">
      <c r="A1947" s="7" t="s">
        <v>12882</v>
      </c>
      <c r="B1947" s="8" t="s">
        <v>12831</v>
      </c>
      <c r="C1947" s="8" t="s">
        <v>12712</v>
      </c>
      <c r="D1947" s="8" t="str">
        <f>"9783428441952"</f>
        <v>9783428441952</v>
      </c>
    </row>
    <row r="1948" spans="1:4" ht="30" x14ac:dyDescent="0.25">
      <c r="A1948" s="7" t="s">
        <v>5236</v>
      </c>
      <c r="B1948" s="8" t="s">
        <v>5237</v>
      </c>
      <c r="C1948" s="8" t="s">
        <v>1865</v>
      </c>
      <c r="D1948" s="8" t="str">
        <f>"9789179298142"</f>
        <v>9789179298142</v>
      </c>
    </row>
    <row r="1949" spans="1:4" x14ac:dyDescent="0.25">
      <c r="A1949" s="7" t="s">
        <v>16395</v>
      </c>
      <c r="B1949" s="8" t="s">
        <v>16396</v>
      </c>
      <c r="C1949" s="8" t="s">
        <v>1865</v>
      </c>
      <c r="D1949" s="8" t="str">
        <f>"9789175199146"</f>
        <v>9789175199146</v>
      </c>
    </row>
    <row r="1950" spans="1:4" ht="30" x14ac:dyDescent="0.25">
      <c r="A1950" s="7" t="s">
        <v>4261</v>
      </c>
      <c r="B1950" s="8" t="s">
        <v>4262</v>
      </c>
      <c r="C1950" s="8" t="s">
        <v>1865</v>
      </c>
      <c r="D1950" s="8" t="str">
        <f>"9789176851456"</f>
        <v>9789176851456</v>
      </c>
    </row>
    <row r="1951" spans="1:4" ht="30" x14ac:dyDescent="0.25">
      <c r="A1951" s="7" t="s">
        <v>5028</v>
      </c>
      <c r="B1951" s="8" t="s">
        <v>5029</v>
      </c>
      <c r="C1951" s="8" t="s">
        <v>355</v>
      </c>
      <c r="D1951" s="8" t="str">
        <f>"9783110660234"</f>
        <v>9783110660234</v>
      </c>
    </row>
    <row r="1952" spans="1:4" ht="30" x14ac:dyDescent="0.25">
      <c r="A1952" s="7" t="s">
        <v>11187</v>
      </c>
      <c r="B1952" s="8" t="s">
        <v>11188</v>
      </c>
      <c r="C1952" s="8" t="s">
        <v>355</v>
      </c>
      <c r="D1952" s="8" t="str">
        <f>"9783486594249"</f>
        <v>9783486594249</v>
      </c>
    </row>
    <row r="1953" spans="1:4" x14ac:dyDescent="0.25">
      <c r="A1953" s="7" t="s">
        <v>6691</v>
      </c>
      <c r="B1953" s="8" t="s">
        <v>6692</v>
      </c>
      <c r="C1953" s="8" t="s">
        <v>2273</v>
      </c>
      <c r="D1953" s="8" t="str">
        <f>"9783030717780"</f>
        <v>9783030717780</v>
      </c>
    </row>
    <row r="1954" spans="1:4" x14ac:dyDescent="0.25">
      <c r="A1954" s="7" t="s">
        <v>11326</v>
      </c>
      <c r="B1954" s="8" t="s">
        <v>11327</v>
      </c>
      <c r="C1954" s="8" t="s">
        <v>355</v>
      </c>
      <c r="D1954" s="8" t="str">
        <f>"9783110642056"</f>
        <v>9783110642056</v>
      </c>
    </row>
    <row r="1955" spans="1:4" x14ac:dyDescent="0.25">
      <c r="A1955" s="7" t="s">
        <v>11224</v>
      </c>
      <c r="B1955" s="8" t="s">
        <v>11225</v>
      </c>
      <c r="C1955" s="8" t="s">
        <v>355</v>
      </c>
      <c r="D1955" s="8" t="str">
        <f>"9783110720280"</f>
        <v>9783110720280</v>
      </c>
    </row>
    <row r="1956" spans="1:4" x14ac:dyDescent="0.25">
      <c r="A1956" s="7" t="s">
        <v>2646</v>
      </c>
      <c r="B1956" s="8" t="s">
        <v>2647</v>
      </c>
      <c r="C1956" s="8" t="s">
        <v>562</v>
      </c>
      <c r="D1956" s="8" t="str">
        <f>"9780822374589"</f>
        <v>9780822374589</v>
      </c>
    </row>
    <row r="1957" spans="1:4" x14ac:dyDescent="0.25">
      <c r="A1957" s="7" t="s">
        <v>11006</v>
      </c>
      <c r="B1957" s="8" t="s">
        <v>11007</v>
      </c>
      <c r="C1957" s="8" t="s">
        <v>227</v>
      </c>
      <c r="D1957" s="8" t="str">
        <f>"9781526134691"</f>
        <v>9781526134691</v>
      </c>
    </row>
    <row r="1958" spans="1:4" x14ac:dyDescent="0.25">
      <c r="A1958" s="7" t="s">
        <v>9574</v>
      </c>
      <c r="B1958" s="8" t="s">
        <v>9575</v>
      </c>
      <c r="C1958" s="8" t="s">
        <v>2273</v>
      </c>
      <c r="D1958" s="8" t="str">
        <f>"9783030949648"</f>
        <v>9783030949648</v>
      </c>
    </row>
    <row r="1959" spans="1:4" x14ac:dyDescent="0.25">
      <c r="A1959" s="7" t="s">
        <v>3346</v>
      </c>
      <c r="B1959" s="8" t="s">
        <v>3347</v>
      </c>
      <c r="C1959" s="8" t="s">
        <v>1879</v>
      </c>
      <c r="D1959" s="8" t="str">
        <f>"9781783742257"</f>
        <v>9781783742257</v>
      </c>
    </row>
    <row r="1960" spans="1:4" x14ac:dyDescent="0.25">
      <c r="A1960" s="7" t="s">
        <v>2153</v>
      </c>
      <c r="B1960" s="8" t="s">
        <v>2154</v>
      </c>
      <c r="C1960" s="8" t="s">
        <v>1879</v>
      </c>
      <c r="D1960" s="8" t="str">
        <f>"9781783741090"</f>
        <v>9781783741090</v>
      </c>
    </row>
    <row r="1961" spans="1:4" x14ac:dyDescent="0.25">
      <c r="A1961" s="7" t="s">
        <v>11415</v>
      </c>
      <c r="B1961" s="8" t="s">
        <v>3430</v>
      </c>
      <c r="C1961" s="8" t="s">
        <v>355</v>
      </c>
      <c r="D1961" s="8" t="str">
        <f>"9783110629675"</f>
        <v>9783110629675</v>
      </c>
    </row>
    <row r="1962" spans="1:4" x14ac:dyDescent="0.25">
      <c r="A1962" s="7" t="s">
        <v>11722</v>
      </c>
      <c r="B1962" s="8" t="s">
        <v>11723</v>
      </c>
      <c r="C1962" s="8" t="s">
        <v>355</v>
      </c>
      <c r="D1962" s="8" t="str">
        <f>"9783110683868"</f>
        <v>9783110683868</v>
      </c>
    </row>
    <row r="1963" spans="1:4" x14ac:dyDescent="0.25">
      <c r="A1963" s="7" t="s">
        <v>13089</v>
      </c>
      <c r="B1963" s="8" t="s">
        <v>13090</v>
      </c>
      <c r="C1963" s="8" t="s">
        <v>12712</v>
      </c>
      <c r="D1963" s="8" t="str">
        <f>"9783428572656"</f>
        <v>9783428572656</v>
      </c>
    </row>
    <row r="1964" spans="1:4" ht="30" x14ac:dyDescent="0.25">
      <c r="A1964" s="7" t="s">
        <v>12358</v>
      </c>
      <c r="B1964" s="8" t="s">
        <v>12359</v>
      </c>
      <c r="C1964" s="8" t="s">
        <v>993</v>
      </c>
      <c r="D1964" s="8" t="str">
        <f>"9783839463321"</f>
        <v>9783839463321</v>
      </c>
    </row>
    <row r="1965" spans="1:4" ht="30" x14ac:dyDescent="0.25">
      <c r="A1965" s="7" t="s">
        <v>6297</v>
      </c>
      <c r="B1965" s="8" t="s">
        <v>6298</v>
      </c>
      <c r="C1965" s="8" t="s">
        <v>993</v>
      </c>
      <c r="D1965" s="8" t="str">
        <f>"9783839449394"</f>
        <v>9783839449394</v>
      </c>
    </row>
    <row r="1966" spans="1:4" ht="30" x14ac:dyDescent="0.25">
      <c r="A1966" s="7" t="s">
        <v>11725</v>
      </c>
      <c r="B1966" s="8" t="s">
        <v>11726</v>
      </c>
      <c r="C1966" s="8" t="s">
        <v>355</v>
      </c>
      <c r="D1966" s="8" t="str">
        <f>"9783486730111"</f>
        <v>9783486730111</v>
      </c>
    </row>
    <row r="1967" spans="1:4" ht="30" x14ac:dyDescent="0.25">
      <c r="A1967" s="7" t="s">
        <v>13290</v>
      </c>
      <c r="B1967" s="8" t="s">
        <v>13072</v>
      </c>
      <c r="C1967" s="8" t="s">
        <v>12712</v>
      </c>
      <c r="D1967" s="8" t="str">
        <f>"9783428574537"</f>
        <v>9783428574537</v>
      </c>
    </row>
    <row r="1968" spans="1:4" ht="45" x14ac:dyDescent="0.25">
      <c r="A1968" s="7" t="s">
        <v>13288</v>
      </c>
      <c r="B1968" s="8" t="s">
        <v>13072</v>
      </c>
      <c r="C1968" s="8" t="s">
        <v>12712</v>
      </c>
      <c r="D1968" s="8" t="str">
        <f>"9783428574520"</f>
        <v>9783428574520</v>
      </c>
    </row>
    <row r="1969" spans="1:4" ht="30" x14ac:dyDescent="0.25">
      <c r="A1969" s="7" t="s">
        <v>12298</v>
      </c>
      <c r="B1969" s="8" t="s">
        <v>12299</v>
      </c>
      <c r="C1969" s="8" t="s">
        <v>993</v>
      </c>
      <c r="D1969" s="8" t="str">
        <f>"9783839460344"</f>
        <v>9783839460344</v>
      </c>
    </row>
    <row r="1970" spans="1:4" x14ac:dyDescent="0.25">
      <c r="A1970" s="7" t="s">
        <v>13101</v>
      </c>
      <c r="B1970" s="8" t="s">
        <v>13102</v>
      </c>
      <c r="C1970" s="8" t="s">
        <v>12712</v>
      </c>
      <c r="D1970" s="8" t="str">
        <f>"9783428572731"</f>
        <v>9783428572731</v>
      </c>
    </row>
    <row r="1971" spans="1:4" ht="30" x14ac:dyDescent="0.25">
      <c r="A1971" s="7" t="s">
        <v>13069</v>
      </c>
      <c r="B1971" s="8" t="s">
        <v>13068</v>
      </c>
      <c r="C1971" s="8" t="s">
        <v>12712</v>
      </c>
      <c r="D1971" s="8" t="str">
        <f>"9783428568468"</f>
        <v>9783428568468</v>
      </c>
    </row>
    <row r="1972" spans="1:4" ht="30" x14ac:dyDescent="0.25">
      <c r="A1972" s="7" t="s">
        <v>13375</v>
      </c>
      <c r="B1972" s="8" t="s">
        <v>13068</v>
      </c>
      <c r="C1972" s="8" t="s">
        <v>12712</v>
      </c>
      <c r="D1972" s="8" t="str">
        <f>"9783428575411"</f>
        <v>9783428575411</v>
      </c>
    </row>
    <row r="1973" spans="1:4" ht="30" x14ac:dyDescent="0.25">
      <c r="A1973" s="7" t="s">
        <v>13067</v>
      </c>
      <c r="B1973" s="8" t="s">
        <v>13068</v>
      </c>
      <c r="C1973" s="8" t="s">
        <v>12712</v>
      </c>
      <c r="D1973" s="8" t="str">
        <f>"9783428568451"</f>
        <v>9783428568451</v>
      </c>
    </row>
    <row r="1974" spans="1:4" ht="30" x14ac:dyDescent="0.25">
      <c r="A1974" s="7" t="s">
        <v>8439</v>
      </c>
      <c r="B1974" s="8" t="s">
        <v>8440</v>
      </c>
      <c r="C1974" s="8" t="s">
        <v>993</v>
      </c>
      <c r="D1974" s="8" t="str">
        <f>"9783839450802"</f>
        <v>9783839450802</v>
      </c>
    </row>
    <row r="1975" spans="1:4" ht="45" x14ac:dyDescent="0.25">
      <c r="A1975" s="7" t="s">
        <v>13351</v>
      </c>
      <c r="B1975" s="8" t="s">
        <v>191</v>
      </c>
      <c r="C1975" s="8" t="s">
        <v>12712</v>
      </c>
      <c r="D1975" s="8" t="str">
        <f>"9783428575107"</f>
        <v>9783428575107</v>
      </c>
    </row>
    <row r="1976" spans="1:4" x14ac:dyDescent="0.25">
      <c r="A1976" s="7" t="s">
        <v>11237</v>
      </c>
      <c r="B1976" s="8" t="s">
        <v>11200</v>
      </c>
      <c r="C1976" s="8" t="s">
        <v>355</v>
      </c>
      <c r="D1976" s="8" t="str">
        <f>"9783111677347"</f>
        <v>9783111677347</v>
      </c>
    </row>
    <row r="1977" spans="1:4" ht="30" x14ac:dyDescent="0.25">
      <c r="A1977" s="7" t="s">
        <v>533</v>
      </c>
      <c r="B1977" s="8" t="s">
        <v>534</v>
      </c>
      <c r="C1977" s="8" t="s">
        <v>316</v>
      </c>
      <c r="D1977" s="8" t="str">
        <f>"9783110310351"</f>
        <v>9783110310351</v>
      </c>
    </row>
    <row r="1978" spans="1:4" x14ac:dyDescent="0.25">
      <c r="A1978" s="7" t="s">
        <v>12848</v>
      </c>
      <c r="B1978" s="8" t="s">
        <v>12772</v>
      </c>
      <c r="C1978" s="8" t="s">
        <v>12712</v>
      </c>
      <c r="D1978" s="8" t="str">
        <f>"9783428435746"</f>
        <v>9783428435746</v>
      </c>
    </row>
    <row r="1979" spans="1:4" ht="30" x14ac:dyDescent="0.25">
      <c r="A1979" s="7" t="s">
        <v>13372</v>
      </c>
      <c r="B1979" s="8" t="s">
        <v>13373</v>
      </c>
      <c r="C1979" s="8" t="s">
        <v>12712</v>
      </c>
      <c r="D1979" s="8" t="str">
        <f>"9783428575381"</f>
        <v>9783428575381</v>
      </c>
    </row>
    <row r="1980" spans="1:4" ht="30" x14ac:dyDescent="0.25">
      <c r="A1980" s="7" t="s">
        <v>13374</v>
      </c>
      <c r="B1980" s="8" t="s">
        <v>13373</v>
      </c>
      <c r="C1980" s="8" t="s">
        <v>12712</v>
      </c>
      <c r="D1980" s="8" t="str">
        <f>"9783428575398"</f>
        <v>9783428575398</v>
      </c>
    </row>
    <row r="1981" spans="1:4" x14ac:dyDescent="0.25">
      <c r="A1981" s="7" t="s">
        <v>11532</v>
      </c>
      <c r="B1981" s="8" t="s">
        <v>11533</v>
      </c>
      <c r="C1981" s="8" t="s">
        <v>355</v>
      </c>
      <c r="D1981" s="8" t="str">
        <f>"9783486758276"</f>
        <v>9783486758276</v>
      </c>
    </row>
    <row r="1982" spans="1:4" ht="30" x14ac:dyDescent="0.25">
      <c r="A1982" s="7" t="s">
        <v>12852</v>
      </c>
      <c r="B1982" s="8" t="s">
        <v>12853</v>
      </c>
      <c r="C1982" s="8" t="s">
        <v>12712</v>
      </c>
      <c r="D1982" s="8" t="str">
        <f>"9783428436354"</f>
        <v>9783428436354</v>
      </c>
    </row>
    <row r="1983" spans="1:4" ht="45" x14ac:dyDescent="0.25">
      <c r="A1983" s="7" t="s">
        <v>1100</v>
      </c>
      <c r="B1983" s="8" t="s">
        <v>1101</v>
      </c>
      <c r="C1983" s="8" t="s">
        <v>316</v>
      </c>
      <c r="D1983" s="8" t="str">
        <f>"9783110894561"</f>
        <v>9783110894561</v>
      </c>
    </row>
    <row r="1984" spans="1:4" ht="45" x14ac:dyDescent="0.25">
      <c r="A1984" s="7" t="s">
        <v>1615</v>
      </c>
      <c r="B1984" s="8" t="s">
        <v>1616</v>
      </c>
      <c r="C1984" s="8" t="s">
        <v>1345</v>
      </c>
      <c r="D1984" s="8" t="str">
        <f>"9783862191659"</f>
        <v>9783862191659</v>
      </c>
    </row>
    <row r="1985" spans="1:4" ht="30" x14ac:dyDescent="0.25">
      <c r="A1985" s="7" t="s">
        <v>9247</v>
      </c>
      <c r="B1985" s="8" t="s">
        <v>9248</v>
      </c>
      <c r="C1985" s="8" t="s">
        <v>5086</v>
      </c>
      <c r="D1985" s="8" t="str">
        <f>"9783658367190"</f>
        <v>9783658367190</v>
      </c>
    </row>
    <row r="1986" spans="1:4" x14ac:dyDescent="0.25">
      <c r="A1986" s="7" t="s">
        <v>11906</v>
      </c>
      <c r="B1986" s="8" t="s">
        <v>11907</v>
      </c>
      <c r="C1986" s="8" t="s">
        <v>355</v>
      </c>
      <c r="D1986" s="8" t="str">
        <f>"9783110730531"</f>
        <v>9783110730531</v>
      </c>
    </row>
    <row r="1987" spans="1:4" x14ac:dyDescent="0.25">
      <c r="A1987" s="7" t="s">
        <v>10636</v>
      </c>
      <c r="B1987" s="8" t="s">
        <v>10637</v>
      </c>
      <c r="C1987" s="8" t="s">
        <v>5086</v>
      </c>
      <c r="D1987" s="8" t="str">
        <f>"9783658365660"</f>
        <v>9783658365660</v>
      </c>
    </row>
    <row r="1988" spans="1:4" x14ac:dyDescent="0.25">
      <c r="A1988" s="7" t="s">
        <v>8191</v>
      </c>
      <c r="B1988" s="8" t="s">
        <v>8192</v>
      </c>
      <c r="C1988" s="8" t="s">
        <v>7173</v>
      </c>
      <c r="D1988" s="8" t="str">
        <f>"9783839402597"</f>
        <v>9783839402597</v>
      </c>
    </row>
    <row r="1989" spans="1:4" ht="45" x14ac:dyDescent="0.25">
      <c r="A1989" s="7" t="s">
        <v>12869</v>
      </c>
      <c r="B1989" s="8" t="s">
        <v>12722</v>
      </c>
      <c r="C1989" s="8" t="s">
        <v>12712</v>
      </c>
      <c r="D1989" s="8" t="str">
        <f>"9783428441167"</f>
        <v>9783428441167</v>
      </c>
    </row>
    <row r="1990" spans="1:4" ht="45" x14ac:dyDescent="0.25">
      <c r="A1990" s="7" t="s">
        <v>13376</v>
      </c>
      <c r="B1990" s="8" t="s">
        <v>192</v>
      </c>
      <c r="C1990" s="8" t="s">
        <v>12712</v>
      </c>
      <c r="D1990" s="8" t="str">
        <f>"9783428575428"</f>
        <v>9783428575428</v>
      </c>
    </row>
    <row r="1991" spans="1:4" ht="45" x14ac:dyDescent="0.25">
      <c r="A1991" s="7" t="s">
        <v>13070</v>
      </c>
      <c r="B1991" s="8" t="s">
        <v>192</v>
      </c>
      <c r="C1991" s="8" t="s">
        <v>12712</v>
      </c>
      <c r="D1991" s="8" t="str">
        <f>"9783428572144"</f>
        <v>9783428572144</v>
      </c>
    </row>
    <row r="1992" spans="1:4" ht="45" x14ac:dyDescent="0.25">
      <c r="A1992" s="7" t="s">
        <v>13262</v>
      </c>
      <c r="B1992" s="8" t="s">
        <v>185</v>
      </c>
      <c r="C1992" s="8" t="s">
        <v>12712</v>
      </c>
      <c r="D1992" s="8" t="str">
        <f>"9783428574285"</f>
        <v>9783428574285</v>
      </c>
    </row>
    <row r="1993" spans="1:4" x14ac:dyDescent="0.25">
      <c r="A1993" s="7" t="s">
        <v>5743</v>
      </c>
      <c r="B1993" s="8" t="s">
        <v>83</v>
      </c>
      <c r="C1993" s="8" t="s">
        <v>5086</v>
      </c>
      <c r="D1993" s="8" t="str">
        <f>"9783658272586"</f>
        <v>9783658272586</v>
      </c>
    </row>
    <row r="1994" spans="1:4" ht="45" x14ac:dyDescent="0.25">
      <c r="A1994" s="7" t="s">
        <v>1097</v>
      </c>
      <c r="B1994" s="8" t="s">
        <v>1098</v>
      </c>
      <c r="C1994" s="8" t="s">
        <v>316</v>
      </c>
      <c r="D1994" s="8" t="str">
        <f>"9783110902976"</f>
        <v>9783110902976</v>
      </c>
    </row>
    <row r="1995" spans="1:4" x14ac:dyDescent="0.25">
      <c r="A1995" s="7" t="s">
        <v>5152</v>
      </c>
      <c r="B1995" s="8" t="s">
        <v>5153</v>
      </c>
      <c r="C1995" s="8" t="s">
        <v>5086</v>
      </c>
      <c r="D1995" s="8" t="str">
        <f>"9783658313227"</f>
        <v>9783658313227</v>
      </c>
    </row>
    <row r="1996" spans="1:4" ht="30" x14ac:dyDescent="0.25">
      <c r="A1996" s="7" t="s">
        <v>7752</v>
      </c>
      <c r="B1996" s="8" t="s">
        <v>7753</v>
      </c>
      <c r="C1996" s="8" t="s">
        <v>993</v>
      </c>
      <c r="D1996" s="8" t="str">
        <f>"9783839432624"</f>
        <v>9783839432624</v>
      </c>
    </row>
    <row r="1997" spans="1:4" ht="30" x14ac:dyDescent="0.25">
      <c r="A1997" s="7" t="s">
        <v>6969</v>
      </c>
      <c r="B1997" s="8" t="s">
        <v>6970</v>
      </c>
      <c r="C1997" s="8" t="s">
        <v>5086</v>
      </c>
      <c r="D1997" s="8" t="str">
        <f>"9783658338558"</f>
        <v>9783658338558</v>
      </c>
    </row>
    <row r="1998" spans="1:4" ht="30" x14ac:dyDescent="0.25">
      <c r="A1998" s="7" t="s">
        <v>11242</v>
      </c>
      <c r="B1998" s="8" t="s">
        <v>11243</v>
      </c>
      <c r="C1998" s="8" t="s">
        <v>355</v>
      </c>
      <c r="D1998" s="8" t="str">
        <f>"9783111463216"</f>
        <v>9783111463216</v>
      </c>
    </row>
    <row r="1999" spans="1:4" ht="30" x14ac:dyDescent="0.25">
      <c r="A1999" s="7" t="s">
        <v>10605</v>
      </c>
      <c r="B1999" s="8" t="s">
        <v>10606</v>
      </c>
      <c r="C1999" s="8" t="s">
        <v>993</v>
      </c>
      <c r="D1999" s="8" t="str">
        <f>"9783839462133"</f>
        <v>9783839462133</v>
      </c>
    </row>
    <row r="2000" spans="1:4" ht="30" x14ac:dyDescent="0.25">
      <c r="A2000" s="7" t="s">
        <v>13084</v>
      </c>
      <c r="B2000" s="8" t="s">
        <v>13072</v>
      </c>
      <c r="C2000" s="8" t="s">
        <v>12712</v>
      </c>
      <c r="D2000" s="8" t="str">
        <f>"9783428572595"</f>
        <v>9783428572595</v>
      </c>
    </row>
    <row r="2001" spans="1:4" ht="30" x14ac:dyDescent="0.25">
      <c r="A2001" s="7" t="s">
        <v>13029</v>
      </c>
      <c r="B2001" s="8" t="s">
        <v>13007</v>
      </c>
      <c r="C2001" s="8" t="s">
        <v>12712</v>
      </c>
      <c r="D2001" s="8" t="str">
        <f>"9783428473458"</f>
        <v>9783428473458</v>
      </c>
    </row>
    <row r="2002" spans="1:4" x14ac:dyDescent="0.25">
      <c r="A2002" s="7" t="s">
        <v>12099</v>
      </c>
      <c r="B2002" s="8" t="s">
        <v>12100</v>
      </c>
      <c r="C2002" s="8" t="s">
        <v>355</v>
      </c>
      <c r="D2002" s="8" t="str">
        <f>"9783110771008"</f>
        <v>9783110771008</v>
      </c>
    </row>
    <row r="2003" spans="1:4" x14ac:dyDescent="0.25">
      <c r="A2003" s="7" t="s">
        <v>11360</v>
      </c>
      <c r="B2003" s="8" t="s">
        <v>11361</v>
      </c>
      <c r="C2003" s="8" t="s">
        <v>355</v>
      </c>
      <c r="D2003" s="8" t="str">
        <f>"9783486594478"</f>
        <v>9783486594478</v>
      </c>
    </row>
    <row r="2004" spans="1:4" x14ac:dyDescent="0.25">
      <c r="A2004" s="7" t="s">
        <v>11514</v>
      </c>
      <c r="B2004" s="8" t="s">
        <v>11515</v>
      </c>
      <c r="C2004" s="8" t="s">
        <v>355</v>
      </c>
      <c r="D2004" s="8" t="str">
        <f>"9783110446609"</f>
        <v>9783110446609</v>
      </c>
    </row>
    <row r="2005" spans="1:4" ht="60" x14ac:dyDescent="0.25">
      <c r="A2005" s="7" t="s">
        <v>1159</v>
      </c>
      <c r="B2005" s="8" t="s">
        <v>1160</v>
      </c>
      <c r="C2005" s="8" t="s">
        <v>316</v>
      </c>
      <c r="D2005" s="8" t="str">
        <f>"9783110879964"</f>
        <v>9783110879964</v>
      </c>
    </row>
    <row r="2006" spans="1:4" ht="30" x14ac:dyDescent="0.25">
      <c r="A2006" s="7" t="s">
        <v>13219</v>
      </c>
      <c r="B2006" s="8" t="s">
        <v>13220</v>
      </c>
      <c r="C2006" s="8" t="s">
        <v>12712</v>
      </c>
      <c r="D2006" s="8" t="str">
        <f>"9783428573783"</f>
        <v>9783428573783</v>
      </c>
    </row>
    <row r="2007" spans="1:4" ht="30" x14ac:dyDescent="0.25">
      <c r="A2007" s="7" t="s">
        <v>10021</v>
      </c>
      <c r="B2007" s="8" t="s">
        <v>10022</v>
      </c>
      <c r="C2007" s="8" t="s">
        <v>993</v>
      </c>
      <c r="D2007" s="8" t="str">
        <f>"9783839410523"</f>
        <v>9783839410523</v>
      </c>
    </row>
    <row r="2008" spans="1:4" ht="30" x14ac:dyDescent="0.25">
      <c r="A2008" s="7" t="s">
        <v>13293</v>
      </c>
      <c r="B2008" s="8" t="s">
        <v>13294</v>
      </c>
      <c r="C2008" s="8" t="s">
        <v>12712</v>
      </c>
      <c r="D2008" s="8" t="str">
        <f>"9783428574551"</f>
        <v>9783428574551</v>
      </c>
    </row>
    <row r="2009" spans="1:4" ht="75" x14ac:dyDescent="0.25">
      <c r="A2009" s="7" t="s">
        <v>13330</v>
      </c>
      <c r="B2009" s="8" t="s">
        <v>188</v>
      </c>
      <c r="C2009" s="8" t="s">
        <v>12712</v>
      </c>
      <c r="D2009" s="8" t="str">
        <f>"9783428574889"</f>
        <v>9783428574889</v>
      </c>
    </row>
    <row r="2010" spans="1:4" ht="30" x14ac:dyDescent="0.25">
      <c r="A2010" s="7" t="s">
        <v>8363</v>
      </c>
      <c r="B2010" s="8" t="s">
        <v>7483</v>
      </c>
      <c r="C2010" s="8" t="s">
        <v>993</v>
      </c>
      <c r="D2010" s="8" t="str">
        <f>"9783839452714"</f>
        <v>9783839452714</v>
      </c>
    </row>
    <row r="2011" spans="1:4" ht="30" x14ac:dyDescent="0.25">
      <c r="A2011" s="7" t="s">
        <v>10522</v>
      </c>
      <c r="B2011" s="8" t="s">
        <v>10523</v>
      </c>
      <c r="C2011" s="8" t="s">
        <v>993</v>
      </c>
      <c r="D2011" s="8" t="str">
        <f>"9783839458723"</f>
        <v>9783839458723</v>
      </c>
    </row>
    <row r="2012" spans="1:4" x14ac:dyDescent="0.25">
      <c r="A2012" s="7" t="s">
        <v>11724</v>
      </c>
      <c r="B2012" s="8" t="s">
        <v>11399</v>
      </c>
      <c r="C2012" s="8" t="s">
        <v>355</v>
      </c>
      <c r="D2012" s="8" t="str">
        <f>"9783111505695"</f>
        <v>9783111505695</v>
      </c>
    </row>
    <row r="2013" spans="1:4" x14ac:dyDescent="0.25">
      <c r="A2013" s="7" t="s">
        <v>4770</v>
      </c>
      <c r="B2013" s="8" t="s">
        <v>4771</v>
      </c>
      <c r="C2013" s="8" t="s">
        <v>993</v>
      </c>
      <c r="D2013" s="8" t="str">
        <f>"9783839451373"</f>
        <v>9783839451373</v>
      </c>
    </row>
    <row r="2014" spans="1:4" x14ac:dyDescent="0.25">
      <c r="A2014" s="7" t="s">
        <v>5144</v>
      </c>
      <c r="B2014" s="8" t="s">
        <v>5145</v>
      </c>
      <c r="C2014" s="8" t="s">
        <v>5086</v>
      </c>
      <c r="D2014" s="8" t="str">
        <f>"9783658313081"</f>
        <v>9783658313081</v>
      </c>
    </row>
    <row r="2015" spans="1:4" ht="30" x14ac:dyDescent="0.25">
      <c r="A2015" s="7" t="s">
        <v>8368</v>
      </c>
      <c r="B2015" s="8" t="s">
        <v>8369</v>
      </c>
      <c r="C2015" s="8" t="s">
        <v>993</v>
      </c>
      <c r="D2015" s="8" t="str">
        <f>"9783839454794"</f>
        <v>9783839454794</v>
      </c>
    </row>
    <row r="2016" spans="1:4" ht="45" x14ac:dyDescent="0.25">
      <c r="A2016" s="7" t="s">
        <v>13142</v>
      </c>
      <c r="B2016" s="8" t="s">
        <v>13143</v>
      </c>
      <c r="C2016" s="8" t="s">
        <v>12712</v>
      </c>
      <c r="D2016" s="8" t="str">
        <f>"9783428573066"</f>
        <v>9783428573066</v>
      </c>
    </row>
    <row r="2017" spans="1:4" ht="30" x14ac:dyDescent="0.25">
      <c r="A2017" s="7" t="s">
        <v>12341</v>
      </c>
      <c r="B2017" s="8" t="s">
        <v>12342</v>
      </c>
      <c r="C2017" s="8" t="s">
        <v>993</v>
      </c>
      <c r="D2017" s="8" t="str">
        <f>"9783839462157"</f>
        <v>9783839462157</v>
      </c>
    </row>
    <row r="2018" spans="1:4" ht="75" x14ac:dyDescent="0.25">
      <c r="A2018" s="7" t="s">
        <v>13271</v>
      </c>
      <c r="B2018" s="8" t="s">
        <v>185</v>
      </c>
      <c r="C2018" s="8" t="s">
        <v>12712</v>
      </c>
      <c r="D2018" s="8" t="str">
        <f>"9783428574360"</f>
        <v>9783428574360</v>
      </c>
    </row>
    <row r="2019" spans="1:4" ht="30" x14ac:dyDescent="0.25">
      <c r="A2019" s="7" t="s">
        <v>7538</v>
      </c>
      <c r="B2019" s="8" t="s">
        <v>7539</v>
      </c>
      <c r="C2019" s="8" t="s">
        <v>993</v>
      </c>
      <c r="D2019" s="8" t="str">
        <f>"9783839410776"</f>
        <v>9783839410776</v>
      </c>
    </row>
    <row r="2020" spans="1:4" ht="30" x14ac:dyDescent="0.25">
      <c r="A2020" s="7" t="s">
        <v>2230</v>
      </c>
      <c r="B2020" s="8" t="s">
        <v>2231</v>
      </c>
      <c r="C2020" s="8" t="s">
        <v>355</v>
      </c>
      <c r="D2020" s="8" t="str">
        <f>"9783486833607"</f>
        <v>9783486833607</v>
      </c>
    </row>
    <row r="2021" spans="1:4" x14ac:dyDescent="0.25">
      <c r="A2021" s="7" t="s">
        <v>1557</v>
      </c>
      <c r="B2021" s="8" t="s">
        <v>1558</v>
      </c>
      <c r="C2021" s="8" t="s">
        <v>1345</v>
      </c>
      <c r="D2021" s="8" t="str">
        <f>"9783862193233"</f>
        <v>9783862193233</v>
      </c>
    </row>
    <row r="2022" spans="1:4" ht="30" x14ac:dyDescent="0.25">
      <c r="A2022" s="7" t="s">
        <v>1537</v>
      </c>
      <c r="B2022" s="8" t="s">
        <v>1538</v>
      </c>
      <c r="C2022" s="8" t="s">
        <v>1345</v>
      </c>
      <c r="D2022" s="8" t="str">
        <f>"9783862192137"</f>
        <v>9783862192137</v>
      </c>
    </row>
    <row r="2023" spans="1:4" ht="30" x14ac:dyDescent="0.25">
      <c r="A2023" s="7" t="s">
        <v>7526</v>
      </c>
      <c r="B2023" s="8" t="s">
        <v>7527</v>
      </c>
      <c r="C2023" s="8" t="s">
        <v>993</v>
      </c>
      <c r="D2023" s="8" t="str">
        <f>"9783839410677"</f>
        <v>9783839410677</v>
      </c>
    </row>
    <row r="2024" spans="1:4" x14ac:dyDescent="0.25">
      <c r="A2024" s="7" t="s">
        <v>3343</v>
      </c>
      <c r="B2024" s="8" t="s">
        <v>3215</v>
      </c>
      <c r="C2024" s="8" t="s">
        <v>1879</v>
      </c>
      <c r="D2024" s="8" t="str">
        <f>"9781783744008"</f>
        <v>9781783744008</v>
      </c>
    </row>
    <row r="2025" spans="1:4" ht="30" x14ac:dyDescent="0.25">
      <c r="A2025" s="7" t="s">
        <v>1066</v>
      </c>
      <c r="B2025" s="8" t="s">
        <v>1067</v>
      </c>
      <c r="C2025" s="8" t="s">
        <v>316</v>
      </c>
      <c r="D2025" s="8" t="str">
        <f>"9783110893052"</f>
        <v>9783110893052</v>
      </c>
    </row>
    <row r="2026" spans="1:4" x14ac:dyDescent="0.25">
      <c r="A2026" s="7" t="s">
        <v>8456</v>
      </c>
      <c r="B2026" s="8" t="s">
        <v>8457</v>
      </c>
      <c r="C2026" s="8" t="s">
        <v>993</v>
      </c>
      <c r="D2026" s="8" t="str">
        <f>"9783839457856"</f>
        <v>9783839457856</v>
      </c>
    </row>
    <row r="2027" spans="1:4" ht="30" x14ac:dyDescent="0.25">
      <c r="A2027" s="7" t="s">
        <v>8937</v>
      </c>
      <c r="B2027" s="8" t="s">
        <v>8938</v>
      </c>
      <c r="C2027" s="8" t="s">
        <v>5134</v>
      </c>
      <c r="D2027" s="8" t="str">
        <f>"9783662633267"</f>
        <v>9783662633267</v>
      </c>
    </row>
    <row r="2028" spans="1:4" x14ac:dyDescent="0.25">
      <c r="A2028" s="7" t="s">
        <v>9946</v>
      </c>
      <c r="B2028" s="8" t="s">
        <v>9947</v>
      </c>
      <c r="C2028" s="8" t="s">
        <v>993</v>
      </c>
      <c r="D2028" s="8" t="str">
        <f>"9783839408506"</f>
        <v>9783839408506</v>
      </c>
    </row>
    <row r="2029" spans="1:4" x14ac:dyDescent="0.25">
      <c r="A2029" s="7" t="s">
        <v>10350</v>
      </c>
      <c r="B2029" s="8" t="s">
        <v>10351</v>
      </c>
      <c r="C2029" s="8" t="s">
        <v>993</v>
      </c>
      <c r="D2029" s="8" t="str">
        <f>"9783839449929"</f>
        <v>9783839449929</v>
      </c>
    </row>
    <row r="2030" spans="1:4" x14ac:dyDescent="0.25">
      <c r="A2030" s="7" t="s">
        <v>12989</v>
      </c>
      <c r="B2030" s="8" t="s">
        <v>12949</v>
      </c>
      <c r="C2030" s="8" t="s">
        <v>12712</v>
      </c>
      <c r="D2030" s="8" t="str">
        <f>"9783428461691"</f>
        <v>9783428461691</v>
      </c>
    </row>
    <row r="2031" spans="1:4" x14ac:dyDescent="0.25">
      <c r="A2031" s="7" t="s">
        <v>5010</v>
      </c>
      <c r="B2031" s="8" t="s">
        <v>5011</v>
      </c>
      <c r="C2031" s="8" t="s">
        <v>355</v>
      </c>
      <c r="D2031" s="8" t="str">
        <f>"9783110614909"</f>
        <v>9783110614909</v>
      </c>
    </row>
    <row r="2032" spans="1:4" ht="30" x14ac:dyDescent="0.25">
      <c r="A2032" s="7" t="s">
        <v>6182</v>
      </c>
      <c r="B2032" s="8" t="s">
        <v>6183</v>
      </c>
      <c r="C2032" s="8" t="s">
        <v>5086</v>
      </c>
      <c r="D2032" s="8" t="str">
        <f>"9783658284756"</f>
        <v>9783658284756</v>
      </c>
    </row>
    <row r="2033" spans="1:4" ht="60" x14ac:dyDescent="0.25">
      <c r="A2033" s="7" t="s">
        <v>1119</v>
      </c>
      <c r="B2033" s="8" t="s">
        <v>1120</v>
      </c>
      <c r="C2033" s="8" t="s">
        <v>316</v>
      </c>
      <c r="D2033" s="8" t="str">
        <f>"9783110903256"</f>
        <v>9783110903256</v>
      </c>
    </row>
    <row r="2034" spans="1:4" ht="45" x14ac:dyDescent="0.25">
      <c r="A2034" s="7" t="s">
        <v>13263</v>
      </c>
      <c r="B2034" s="8" t="s">
        <v>185</v>
      </c>
      <c r="C2034" s="8" t="s">
        <v>12712</v>
      </c>
      <c r="D2034" s="8" t="str">
        <f>"9783428574292"</f>
        <v>9783428574292</v>
      </c>
    </row>
    <row r="2035" spans="1:4" ht="30" x14ac:dyDescent="0.25">
      <c r="A2035" s="7" t="s">
        <v>8120</v>
      </c>
      <c r="B2035" s="8" t="s">
        <v>8121</v>
      </c>
      <c r="C2035" s="8" t="s">
        <v>993</v>
      </c>
      <c r="D2035" s="8" t="str">
        <f>"9783839452868"</f>
        <v>9783839452868</v>
      </c>
    </row>
    <row r="2036" spans="1:4" ht="30" x14ac:dyDescent="0.25">
      <c r="A2036" s="7" t="s">
        <v>14120</v>
      </c>
      <c r="B2036" s="8" t="s">
        <v>14121</v>
      </c>
      <c r="C2036" s="8" t="s">
        <v>5086</v>
      </c>
      <c r="D2036" s="8" t="str">
        <f>"9783658405304"</f>
        <v>9783658405304</v>
      </c>
    </row>
    <row r="2037" spans="1:4" x14ac:dyDescent="0.25">
      <c r="A2037" s="7" t="s">
        <v>11381</v>
      </c>
      <c r="B2037" s="8" t="s">
        <v>11383</v>
      </c>
      <c r="C2037" s="8" t="s">
        <v>11382</v>
      </c>
      <c r="D2037" s="8" t="str">
        <f>"9783868599800"</f>
        <v>9783868599800</v>
      </c>
    </row>
    <row r="2038" spans="1:4" ht="30" x14ac:dyDescent="0.25">
      <c r="A2038" s="7" t="s">
        <v>8181</v>
      </c>
      <c r="B2038" s="8" t="s">
        <v>8182</v>
      </c>
      <c r="C2038" s="8" t="s">
        <v>993</v>
      </c>
      <c r="D2038" s="8" t="str">
        <f>"9783839456613"</f>
        <v>9783839456613</v>
      </c>
    </row>
    <row r="2039" spans="1:4" ht="30" x14ac:dyDescent="0.25">
      <c r="A2039" s="7" t="s">
        <v>3628</v>
      </c>
      <c r="B2039" s="8" t="s">
        <v>3629</v>
      </c>
      <c r="C2039" s="8" t="s">
        <v>1345</v>
      </c>
      <c r="D2039" s="8" t="str">
        <f>"9783737604772"</f>
        <v>9783737604772</v>
      </c>
    </row>
    <row r="2040" spans="1:4" ht="30" x14ac:dyDescent="0.25">
      <c r="A2040" s="7" t="s">
        <v>13307</v>
      </c>
      <c r="B2040" s="8" t="s">
        <v>13308</v>
      </c>
      <c r="C2040" s="8" t="s">
        <v>12712</v>
      </c>
      <c r="D2040" s="8" t="str">
        <f>"9783428574667"</f>
        <v>9783428574667</v>
      </c>
    </row>
    <row r="2041" spans="1:4" ht="30" x14ac:dyDescent="0.25">
      <c r="A2041" s="7" t="s">
        <v>13310</v>
      </c>
      <c r="B2041" s="8" t="s">
        <v>13311</v>
      </c>
      <c r="C2041" s="8" t="s">
        <v>12712</v>
      </c>
      <c r="D2041" s="8" t="str">
        <f>"9783428574674"</f>
        <v>9783428574674</v>
      </c>
    </row>
    <row r="2042" spans="1:4" ht="60" x14ac:dyDescent="0.25">
      <c r="A2042" s="7" t="s">
        <v>13326</v>
      </c>
      <c r="B2042" s="8" t="s">
        <v>13327</v>
      </c>
      <c r="C2042" s="8" t="s">
        <v>12712</v>
      </c>
      <c r="D2042" s="8" t="str">
        <f>"9783428574872"</f>
        <v>9783428574872</v>
      </c>
    </row>
    <row r="2043" spans="1:4" ht="60" x14ac:dyDescent="0.25">
      <c r="A2043" s="7" t="s">
        <v>13230</v>
      </c>
      <c r="B2043" s="8" t="s">
        <v>187</v>
      </c>
      <c r="C2043" s="8" t="s">
        <v>12712</v>
      </c>
      <c r="D2043" s="8" t="str">
        <f>"9783428573868"</f>
        <v>9783428573868</v>
      </c>
    </row>
    <row r="2044" spans="1:4" ht="60" x14ac:dyDescent="0.25">
      <c r="A2044" s="7" t="s">
        <v>13233</v>
      </c>
      <c r="B2044" s="8" t="s">
        <v>187</v>
      </c>
      <c r="C2044" s="8" t="s">
        <v>12712</v>
      </c>
      <c r="D2044" s="8" t="str">
        <f>"9783428573899"</f>
        <v>9783428573899</v>
      </c>
    </row>
    <row r="2045" spans="1:4" ht="45" x14ac:dyDescent="0.25">
      <c r="A2045" s="7" t="s">
        <v>13236</v>
      </c>
      <c r="B2045" s="8" t="s">
        <v>187</v>
      </c>
      <c r="C2045" s="8" t="s">
        <v>12712</v>
      </c>
      <c r="D2045" s="8" t="str">
        <f>"9783428573929"</f>
        <v>9783428573929</v>
      </c>
    </row>
    <row r="2046" spans="1:4" ht="60" x14ac:dyDescent="0.25">
      <c r="A2046" s="7" t="s">
        <v>13237</v>
      </c>
      <c r="B2046" s="8" t="s">
        <v>187</v>
      </c>
      <c r="C2046" s="8" t="s">
        <v>12712</v>
      </c>
      <c r="D2046" s="8" t="str">
        <f>"9783428573936"</f>
        <v>9783428573936</v>
      </c>
    </row>
    <row r="2047" spans="1:4" ht="60" x14ac:dyDescent="0.25">
      <c r="A2047" s="7" t="s">
        <v>13235</v>
      </c>
      <c r="B2047" s="8" t="s">
        <v>187</v>
      </c>
      <c r="C2047" s="8" t="s">
        <v>12712</v>
      </c>
      <c r="D2047" s="8" t="str">
        <f>"9783428573912"</f>
        <v>9783428573912</v>
      </c>
    </row>
    <row r="2048" spans="1:4" ht="60" x14ac:dyDescent="0.25">
      <c r="A2048" s="7" t="s">
        <v>13234</v>
      </c>
      <c r="B2048" s="8" t="s">
        <v>187</v>
      </c>
      <c r="C2048" s="8" t="s">
        <v>12712</v>
      </c>
      <c r="D2048" s="8" t="str">
        <f>"9783428573905"</f>
        <v>9783428573905</v>
      </c>
    </row>
    <row r="2049" spans="1:4" ht="60" x14ac:dyDescent="0.25">
      <c r="A2049" s="7" t="s">
        <v>13231</v>
      </c>
      <c r="B2049" s="8" t="s">
        <v>187</v>
      </c>
      <c r="C2049" s="8" t="s">
        <v>12712</v>
      </c>
      <c r="D2049" s="8" t="str">
        <f>"9783428573875"</f>
        <v>9783428573875</v>
      </c>
    </row>
    <row r="2050" spans="1:4" ht="75" x14ac:dyDescent="0.25">
      <c r="A2050" s="7" t="s">
        <v>13238</v>
      </c>
      <c r="B2050" s="8" t="s">
        <v>187</v>
      </c>
      <c r="C2050" s="8" t="s">
        <v>12712</v>
      </c>
      <c r="D2050" s="8" t="str">
        <f>"9783428573943"</f>
        <v>9783428573943</v>
      </c>
    </row>
    <row r="2051" spans="1:4" ht="45" x14ac:dyDescent="0.25">
      <c r="A2051" s="7" t="s">
        <v>13239</v>
      </c>
      <c r="B2051" s="8" t="s">
        <v>187</v>
      </c>
      <c r="C2051" s="8" t="s">
        <v>12712</v>
      </c>
      <c r="D2051" s="8" t="str">
        <f>"9783428573950"</f>
        <v>9783428573950</v>
      </c>
    </row>
    <row r="2052" spans="1:4" ht="60" x14ac:dyDescent="0.25">
      <c r="A2052" s="7" t="s">
        <v>13243</v>
      </c>
      <c r="B2052" s="8" t="s">
        <v>187</v>
      </c>
      <c r="C2052" s="8" t="s">
        <v>12712</v>
      </c>
      <c r="D2052" s="8" t="str">
        <f>"9783428573998"</f>
        <v>9783428573998</v>
      </c>
    </row>
    <row r="2053" spans="1:4" ht="60" x14ac:dyDescent="0.25">
      <c r="A2053" s="7" t="s">
        <v>13232</v>
      </c>
      <c r="B2053" s="8" t="s">
        <v>187</v>
      </c>
      <c r="C2053" s="8" t="s">
        <v>12712</v>
      </c>
      <c r="D2053" s="8" t="str">
        <f>"9783428573882"</f>
        <v>9783428573882</v>
      </c>
    </row>
    <row r="2054" spans="1:4" ht="60" x14ac:dyDescent="0.25">
      <c r="A2054" s="7" t="s">
        <v>13229</v>
      </c>
      <c r="B2054" s="8" t="s">
        <v>187</v>
      </c>
      <c r="C2054" s="8" t="s">
        <v>12712</v>
      </c>
      <c r="D2054" s="8" t="str">
        <f>"9783428573851"</f>
        <v>9783428573851</v>
      </c>
    </row>
    <row r="2055" spans="1:4" ht="45" x14ac:dyDescent="0.25">
      <c r="A2055" s="7" t="s">
        <v>13269</v>
      </c>
      <c r="B2055" s="8" t="s">
        <v>185</v>
      </c>
      <c r="C2055" s="8" t="s">
        <v>12712</v>
      </c>
      <c r="D2055" s="8" t="str">
        <f>"9783428574346"</f>
        <v>9783428574346</v>
      </c>
    </row>
    <row r="2056" spans="1:4" ht="30" x14ac:dyDescent="0.25">
      <c r="A2056" s="7" t="s">
        <v>13731</v>
      </c>
      <c r="B2056" s="8" t="s">
        <v>13732</v>
      </c>
      <c r="C2056" s="8" t="s">
        <v>993</v>
      </c>
      <c r="D2056" s="8" t="str">
        <f>"9783839465141"</f>
        <v>9783839465141</v>
      </c>
    </row>
    <row r="2057" spans="1:4" x14ac:dyDescent="0.25">
      <c r="A2057" s="7" t="s">
        <v>11868</v>
      </c>
      <c r="B2057" s="8" t="s">
        <v>11869</v>
      </c>
      <c r="C2057" s="8" t="s">
        <v>355</v>
      </c>
      <c r="D2057" s="8" t="str">
        <f>"9783110712568"</f>
        <v>9783110712568</v>
      </c>
    </row>
    <row r="2058" spans="1:4" x14ac:dyDescent="0.25">
      <c r="A2058" s="7" t="s">
        <v>10161</v>
      </c>
      <c r="B2058" s="8" t="s">
        <v>10162</v>
      </c>
      <c r="C2058" s="8" t="s">
        <v>993</v>
      </c>
      <c r="D2058" s="8" t="str">
        <f>"9783839441947"</f>
        <v>9783839441947</v>
      </c>
    </row>
    <row r="2059" spans="1:4" x14ac:dyDescent="0.25">
      <c r="A2059" s="7" t="s">
        <v>10406</v>
      </c>
      <c r="B2059" s="8" t="s">
        <v>10407</v>
      </c>
      <c r="C2059" s="8" t="s">
        <v>993</v>
      </c>
      <c r="D2059" s="8" t="str">
        <f>"9783839455364"</f>
        <v>9783839455364</v>
      </c>
    </row>
    <row r="2060" spans="1:4" x14ac:dyDescent="0.25">
      <c r="A2060" s="7" t="s">
        <v>11244</v>
      </c>
      <c r="B2060" s="8" t="s">
        <v>11245</v>
      </c>
      <c r="C2060" s="8" t="s">
        <v>355</v>
      </c>
      <c r="D2060" s="8" t="str">
        <f>"9783111536491"</f>
        <v>9783111536491</v>
      </c>
    </row>
    <row r="2061" spans="1:4" ht="30" x14ac:dyDescent="0.25">
      <c r="A2061" s="7" t="s">
        <v>12094</v>
      </c>
      <c r="B2061" s="8" t="s">
        <v>12095</v>
      </c>
      <c r="C2061" s="8" t="s">
        <v>355</v>
      </c>
      <c r="D2061" s="8" t="str">
        <f>"9783110751055"</f>
        <v>9783110751055</v>
      </c>
    </row>
    <row r="2062" spans="1:4" ht="60" x14ac:dyDescent="0.25">
      <c r="A2062" s="7" t="s">
        <v>2256</v>
      </c>
      <c r="B2062" s="8" t="s">
        <v>1081</v>
      </c>
      <c r="C2062" s="8" t="s">
        <v>316</v>
      </c>
      <c r="D2062" s="8" t="str">
        <f>"9783110888225"</f>
        <v>9783110888225</v>
      </c>
    </row>
    <row r="2063" spans="1:4" x14ac:dyDescent="0.25">
      <c r="A2063" s="7" t="s">
        <v>7219</v>
      </c>
      <c r="B2063" s="8" t="s">
        <v>7220</v>
      </c>
      <c r="C2063" s="8" t="s">
        <v>355</v>
      </c>
      <c r="D2063" s="8" t="str">
        <f>"9783110604856"</f>
        <v>9783110604856</v>
      </c>
    </row>
    <row r="2064" spans="1:4" ht="30" x14ac:dyDescent="0.25">
      <c r="A2064" s="7" t="s">
        <v>2361</v>
      </c>
      <c r="B2064" s="8" t="s">
        <v>2362</v>
      </c>
      <c r="C2064" s="8" t="s">
        <v>1345</v>
      </c>
      <c r="D2064" s="8" t="str">
        <f>"9783862197590"</f>
        <v>9783862197590</v>
      </c>
    </row>
    <row r="2065" spans="1:4" x14ac:dyDescent="0.25">
      <c r="A2065" s="7" t="s">
        <v>6638</v>
      </c>
      <c r="B2065" s="8" t="s">
        <v>6639</v>
      </c>
      <c r="C2065" s="8" t="s">
        <v>5086</v>
      </c>
      <c r="D2065" s="8" t="str">
        <f>"9783658332136"</f>
        <v>9783658332136</v>
      </c>
    </row>
    <row r="2066" spans="1:4" ht="30" x14ac:dyDescent="0.25">
      <c r="A2066" s="7" t="s">
        <v>10377</v>
      </c>
      <c r="B2066" s="8" t="s">
        <v>10227</v>
      </c>
      <c r="C2066" s="8" t="s">
        <v>993</v>
      </c>
      <c r="D2066" s="8" t="str">
        <f>"9783839453780"</f>
        <v>9783839453780</v>
      </c>
    </row>
    <row r="2067" spans="1:4" ht="60" x14ac:dyDescent="0.25">
      <c r="A2067" s="7" t="s">
        <v>1080</v>
      </c>
      <c r="B2067" s="8" t="s">
        <v>1081</v>
      </c>
      <c r="C2067" s="8" t="s">
        <v>316</v>
      </c>
      <c r="D2067" s="8" t="str">
        <f>"9783110900743"</f>
        <v>9783110900743</v>
      </c>
    </row>
    <row r="2068" spans="1:4" ht="30" x14ac:dyDescent="0.25">
      <c r="A2068" s="7" t="s">
        <v>13093</v>
      </c>
      <c r="B2068" s="8" t="s">
        <v>13072</v>
      </c>
      <c r="C2068" s="8" t="s">
        <v>12712</v>
      </c>
      <c r="D2068" s="8" t="str">
        <f>"9783428572663"</f>
        <v>9783428572663</v>
      </c>
    </row>
    <row r="2069" spans="1:4" ht="60" x14ac:dyDescent="0.25">
      <c r="A2069" s="7" t="s">
        <v>13132</v>
      </c>
      <c r="B2069" s="8" t="s">
        <v>13072</v>
      </c>
      <c r="C2069" s="8" t="s">
        <v>12712</v>
      </c>
      <c r="D2069" s="8" t="str">
        <f>"9783428572984"</f>
        <v>9783428572984</v>
      </c>
    </row>
    <row r="2070" spans="1:4" ht="45" x14ac:dyDescent="0.25">
      <c r="A2070" s="7" t="s">
        <v>13140</v>
      </c>
      <c r="B2070" s="8" t="s">
        <v>187</v>
      </c>
      <c r="C2070" s="8" t="s">
        <v>12712</v>
      </c>
      <c r="D2070" s="8" t="str">
        <f>"9783428573042"</f>
        <v>9783428573042</v>
      </c>
    </row>
    <row r="2071" spans="1:4" ht="90" x14ac:dyDescent="0.25">
      <c r="A2071" s="7" t="s">
        <v>13131</v>
      </c>
      <c r="B2071" s="8" t="s">
        <v>13072</v>
      </c>
      <c r="C2071" s="8" t="s">
        <v>12712</v>
      </c>
      <c r="D2071" s="8" t="str">
        <f>"9783428572960"</f>
        <v>9783428572960</v>
      </c>
    </row>
    <row r="2072" spans="1:4" ht="30" x14ac:dyDescent="0.25">
      <c r="A2072" s="7" t="s">
        <v>13118</v>
      </c>
      <c r="B2072" s="8" t="s">
        <v>13072</v>
      </c>
      <c r="C2072" s="8" t="s">
        <v>12712</v>
      </c>
      <c r="D2072" s="8" t="str">
        <f>"9783428572878"</f>
        <v>9783428572878</v>
      </c>
    </row>
    <row r="2073" spans="1:4" ht="30" x14ac:dyDescent="0.25">
      <c r="A2073" s="7" t="s">
        <v>13128</v>
      </c>
      <c r="B2073" s="8" t="s">
        <v>13129</v>
      </c>
      <c r="C2073" s="8" t="s">
        <v>12712</v>
      </c>
      <c r="D2073" s="8" t="str">
        <f>"9783428572953"</f>
        <v>9783428572953</v>
      </c>
    </row>
    <row r="2074" spans="1:4" ht="30" x14ac:dyDescent="0.25">
      <c r="A2074" s="7" t="s">
        <v>13314</v>
      </c>
      <c r="B2074" s="8" t="s">
        <v>13313</v>
      </c>
      <c r="C2074" s="8" t="s">
        <v>12712</v>
      </c>
      <c r="D2074" s="8" t="str">
        <f>"9783428574704"</f>
        <v>9783428574704</v>
      </c>
    </row>
    <row r="2075" spans="1:4" ht="45" x14ac:dyDescent="0.25">
      <c r="A2075" s="7" t="s">
        <v>13130</v>
      </c>
      <c r="B2075" s="8" t="s">
        <v>191</v>
      </c>
      <c r="C2075" s="8" t="s">
        <v>12712</v>
      </c>
      <c r="D2075" s="8" t="str">
        <f>"9783428572977"</f>
        <v>9783428572977</v>
      </c>
    </row>
    <row r="2076" spans="1:4" x14ac:dyDescent="0.25">
      <c r="A2076" s="7" t="s">
        <v>7660</v>
      </c>
      <c r="B2076" s="8" t="s">
        <v>7661</v>
      </c>
      <c r="C2076" s="8" t="s">
        <v>993</v>
      </c>
      <c r="D2076" s="8" t="str">
        <f>"9783839425701"</f>
        <v>9783839425701</v>
      </c>
    </row>
    <row r="2077" spans="1:4" ht="30" x14ac:dyDescent="0.25">
      <c r="A2077" s="7" t="s">
        <v>11148</v>
      </c>
      <c r="B2077" s="8" t="s">
        <v>11149</v>
      </c>
      <c r="C2077" s="8" t="s">
        <v>355</v>
      </c>
      <c r="D2077" s="8" t="str">
        <f>"9783110758009"</f>
        <v>9783110758009</v>
      </c>
    </row>
    <row r="2078" spans="1:4" ht="30" x14ac:dyDescent="0.25">
      <c r="A2078" s="7" t="s">
        <v>12616</v>
      </c>
      <c r="B2078" s="8" t="s">
        <v>12617</v>
      </c>
      <c r="C2078" s="8" t="s">
        <v>5086</v>
      </c>
      <c r="D2078" s="8" t="str">
        <f>"9783658383879"</f>
        <v>9783658383879</v>
      </c>
    </row>
    <row r="2079" spans="1:4" ht="30" x14ac:dyDescent="0.25">
      <c r="A2079" s="7" t="s">
        <v>11753</v>
      </c>
      <c r="B2079" s="8" t="s">
        <v>11754</v>
      </c>
      <c r="C2079" s="8" t="s">
        <v>355</v>
      </c>
      <c r="D2079" s="8" t="str">
        <f>"9783110700145"</f>
        <v>9783110700145</v>
      </c>
    </row>
    <row r="2080" spans="1:4" x14ac:dyDescent="0.25">
      <c r="A2080" s="7" t="s">
        <v>7230</v>
      </c>
      <c r="B2080" s="8" t="s">
        <v>7231</v>
      </c>
      <c r="C2080" s="8" t="s">
        <v>355</v>
      </c>
      <c r="D2080" s="8" t="str">
        <f>"9783110607833"</f>
        <v>9783110607833</v>
      </c>
    </row>
    <row r="2081" spans="1:4" x14ac:dyDescent="0.25">
      <c r="A2081" s="7" t="s">
        <v>12114</v>
      </c>
      <c r="B2081" s="8" t="s">
        <v>12115</v>
      </c>
      <c r="C2081" s="8" t="s">
        <v>355</v>
      </c>
      <c r="D2081" s="8" t="str">
        <f>"9783110730210"</f>
        <v>9783110730210</v>
      </c>
    </row>
    <row r="2082" spans="1:4" ht="30" x14ac:dyDescent="0.25">
      <c r="A2082" s="7" t="s">
        <v>13139</v>
      </c>
      <c r="B2082" s="8" t="s">
        <v>185</v>
      </c>
      <c r="C2082" s="8" t="s">
        <v>12712</v>
      </c>
      <c r="D2082" s="8" t="str">
        <f>"9783428573035"</f>
        <v>9783428573035</v>
      </c>
    </row>
    <row r="2083" spans="1:4" x14ac:dyDescent="0.25">
      <c r="A2083" s="7" t="s">
        <v>12973</v>
      </c>
      <c r="B2083" s="8" t="s">
        <v>12974</v>
      </c>
      <c r="C2083" s="8" t="s">
        <v>12712</v>
      </c>
      <c r="D2083" s="8" t="str">
        <f>"9783428459728"</f>
        <v>9783428459728</v>
      </c>
    </row>
    <row r="2084" spans="1:4" ht="30" x14ac:dyDescent="0.25">
      <c r="A2084" s="7" t="s">
        <v>2617</v>
      </c>
      <c r="B2084" s="8" t="s">
        <v>2618</v>
      </c>
      <c r="C2084" s="8" t="s">
        <v>355</v>
      </c>
      <c r="D2084" s="8" t="str">
        <f>"9783110419207"</f>
        <v>9783110419207</v>
      </c>
    </row>
    <row r="2085" spans="1:4" ht="30" x14ac:dyDescent="0.25">
      <c r="A2085" s="7" t="s">
        <v>3222</v>
      </c>
      <c r="B2085" s="8" t="s">
        <v>3223</v>
      </c>
      <c r="C2085" s="8" t="s">
        <v>1345</v>
      </c>
      <c r="D2085" s="8" t="str">
        <f>"9783737603232"</f>
        <v>9783737603232</v>
      </c>
    </row>
    <row r="2086" spans="1:4" x14ac:dyDescent="0.25">
      <c r="A2086" s="7" t="s">
        <v>11392</v>
      </c>
      <c r="B2086" s="8" t="s">
        <v>11393</v>
      </c>
      <c r="C2086" s="8" t="s">
        <v>355</v>
      </c>
      <c r="D2086" s="8" t="str">
        <f>"9783111574141"</f>
        <v>9783111574141</v>
      </c>
    </row>
    <row r="2087" spans="1:4" ht="60" x14ac:dyDescent="0.25">
      <c r="A2087" s="7" t="s">
        <v>1131</v>
      </c>
      <c r="B2087" s="8" t="s">
        <v>1132</v>
      </c>
      <c r="C2087" s="8" t="s">
        <v>316</v>
      </c>
      <c r="D2087" s="8" t="str">
        <f>"9783110876376"</f>
        <v>9783110876376</v>
      </c>
    </row>
    <row r="2088" spans="1:4" ht="30" x14ac:dyDescent="0.25">
      <c r="A2088" s="7" t="s">
        <v>7736</v>
      </c>
      <c r="B2088" s="8" t="s">
        <v>7737</v>
      </c>
      <c r="C2088" s="8" t="s">
        <v>993</v>
      </c>
      <c r="D2088" s="8" t="str">
        <f>"9783839433164"</f>
        <v>9783839433164</v>
      </c>
    </row>
    <row r="2089" spans="1:4" ht="75" x14ac:dyDescent="0.25">
      <c r="A2089" s="7" t="s">
        <v>13303</v>
      </c>
      <c r="B2089" s="8" t="s">
        <v>186</v>
      </c>
      <c r="C2089" s="8" t="s">
        <v>12712</v>
      </c>
      <c r="D2089" s="8" t="str">
        <f>"9783428574629"</f>
        <v>9783428574629</v>
      </c>
    </row>
    <row r="2090" spans="1:4" ht="60" x14ac:dyDescent="0.25">
      <c r="A2090" s="7" t="s">
        <v>13301</v>
      </c>
      <c r="B2090" s="8" t="s">
        <v>186</v>
      </c>
      <c r="C2090" s="8" t="s">
        <v>12712</v>
      </c>
      <c r="D2090" s="8" t="str">
        <f>"9783428574605"</f>
        <v>9783428574605</v>
      </c>
    </row>
    <row r="2091" spans="1:4" ht="60" x14ac:dyDescent="0.25">
      <c r="A2091" s="7" t="s">
        <v>13300</v>
      </c>
      <c r="B2091" s="8" t="s">
        <v>187</v>
      </c>
      <c r="C2091" s="8" t="s">
        <v>12712</v>
      </c>
      <c r="D2091" s="8" t="str">
        <f>"9783428574599"</f>
        <v>9783428574599</v>
      </c>
    </row>
    <row r="2092" spans="1:4" ht="45" x14ac:dyDescent="0.25">
      <c r="A2092" s="7" t="s">
        <v>13302</v>
      </c>
      <c r="B2092" s="8" t="s">
        <v>187</v>
      </c>
      <c r="C2092" s="8" t="s">
        <v>12712</v>
      </c>
      <c r="D2092" s="8" t="str">
        <f>"9783428574612"</f>
        <v>9783428574612</v>
      </c>
    </row>
    <row r="2093" spans="1:4" ht="45" x14ac:dyDescent="0.25">
      <c r="A2093" s="7" t="s">
        <v>13296</v>
      </c>
      <c r="B2093" s="8" t="s">
        <v>13297</v>
      </c>
      <c r="C2093" s="8" t="s">
        <v>12712</v>
      </c>
      <c r="D2093" s="8" t="str">
        <f>"9783428574582"</f>
        <v>9783428574582</v>
      </c>
    </row>
    <row r="2094" spans="1:4" x14ac:dyDescent="0.25">
      <c r="A2094" s="7" t="s">
        <v>12824</v>
      </c>
      <c r="B2094" s="8" t="s">
        <v>12783</v>
      </c>
      <c r="C2094" s="8" t="s">
        <v>12712</v>
      </c>
      <c r="D2094" s="8" t="str">
        <f>"9783428429639"</f>
        <v>9783428429639</v>
      </c>
    </row>
    <row r="2095" spans="1:4" x14ac:dyDescent="0.25">
      <c r="A2095" s="7" t="s">
        <v>12825</v>
      </c>
      <c r="B2095" s="8" t="s">
        <v>12783</v>
      </c>
      <c r="C2095" s="8" t="s">
        <v>12712</v>
      </c>
      <c r="D2095" s="8" t="str">
        <f>"9783428429646"</f>
        <v>9783428429646</v>
      </c>
    </row>
    <row r="2096" spans="1:4" ht="30" x14ac:dyDescent="0.25">
      <c r="A2096" s="7" t="s">
        <v>12878</v>
      </c>
      <c r="B2096" s="8" t="s">
        <v>12757</v>
      </c>
      <c r="C2096" s="8" t="s">
        <v>12712</v>
      </c>
      <c r="D2096" s="8" t="str">
        <f>"9783428441785"</f>
        <v>9783428441785</v>
      </c>
    </row>
    <row r="2097" spans="1:4" x14ac:dyDescent="0.25">
      <c r="A2097" s="7" t="s">
        <v>11681</v>
      </c>
      <c r="B2097" s="8" t="s">
        <v>11682</v>
      </c>
      <c r="C2097" s="8" t="s">
        <v>355</v>
      </c>
      <c r="D2097" s="8" t="str">
        <f>"9783111347455"</f>
        <v>9783111347455</v>
      </c>
    </row>
    <row r="2098" spans="1:4" x14ac:dyDescent="0.25">
      <c r="A2098" s="7" t="s">
        <v>11246</v>
      </c>
      <c r="B2098" s="8" t="s">
        <v>11247</v>
      </c>
      <c r="C2098" s="8" t="s">
        <v>355</v>
      </c>
      <c r="D2098" s="8" t="str">
        <f>"9783111707464"</f>
        <v>9783111707464</v>
      </c>
    </row>
    <row r="2099" spans="1:4" ht="30" x14ac:dyDescent="0.25">
      <c r="A2099" s="7" t="s">
        <v>10503</v>
      </c>
      <c r="B2099" s="8" t="s">
        <v>10504</v>
      </c>
      <c r="C2099" s="8" t="s">
        <v>993</v>
      </c>
      <c r="D2099" s="8" t="str">
        <f>"9783839458327"</f>
        <v>9783839458327</v>
      </c>
    </row>
    <row r="2100" spans="1:4" x14ac:dyDescent="0.25">
      <c r="A2100" s="7" t="s">
        <v>10047</v>
      </c>
      <c r="B2100" s="8" t="s">
        <v>10048</v>
      </c>
      <c r="C2100" s="8" t="s">
        <v>993</v>
      </c>
      <c r="D2100" s="8" t="str">
        <f>"9783839411995"</f>
        <v>9783839411995</v>
      </c>
    </row>
    <row r="2101" spans="1:4" ht="30" x14ac:dyDescent="0.25">
      <c r="A2101" s="7" t="s">
        <v>8413</v>
      </c>
      <c r="B2101" s="8" t="s">
        <v>8414</v>
      </c>
      <c r="C2101" s="8" t="s">
        <v>993</v>
      </c>
      <c r="D2101" s="8" t="str">
        <f>"9783839455302"</f>
        <v>9783839455302</v>
      </c>
    </row>
    <row r="2102" spans="1:4" ht="30" x14ac:dyDescent="0.25">
      <c r="A2102" s="7" t="s">
        <v>12350</v>
      </c>
      <c r="B2102" s="8" t="s">
        <v>12351</v>
      </c>
      <c r="C2102" s="8" t="s">
        <v>993</v>
      </c>
      <c r="D2102" s="8" t="str">
        <f>"9783839462751"</f>
        <v>9783839462751</v>
      </c>
    </row>
    <row r="2103" spans="1:4" ht="30" x14ac:dyDescent="0.25">
      <c r="A2103" s="7" t="s">
        <v>13191</v>
      </c>
      <c r="B2103" s="8" t="s">
        <v>13072</v>
      </c>
      <c r="C2103" s="8" t="s">
        <v>12712</v>
      </c>
      <c r="D2103" s="8" t="str">
        <f>"9783428573516"</f>
        <v>9783428573516</v>
      </c>
    </row>
    <row r="2104" spans="1:4" ht="45" x14ac:dyDescent="0.25">
      <c r="A2104" s="7" t="s">
        <v>13192</v>
      </c>
      <c r="B2104" s="8" t="s">
        <v>13072</v>
      </c>
      <c r="C2104" s="8" t="s">
        <v>12712</v>
      </c>
      <c r="D2104" s="8" t="str">
        <f>"9783428573523"</f>
        <v>9783428573523</v>
      </c>
    </row>
    <row r="2105" spans="1:4" ht="30" x14ac:dyDescent="0.25">
      <c r="A2105" s="7" t="s">
        <v>13121</v>
      </c>
      <c r="B2105" s="8" t="s">
        <v>13122</v>
      </c>
      <c r="C2105" s="8" t="s">
        <v>12712</v>
      </c>
      <c r="D2105" s="8" t="str">
        <f>"9783428572908"</f>
        <v>9783428572908</v>
      </c>
    </row>
    <row r="2106" spans="1:4" ht="60" x14ac:dyDescent="0.25">
      <c r="A2106" s="7" t="s">
        <v>13270</v>
      </c>
      <c r="B2106" s="8" t="s">
        <v>185</v>
      </c>
      <c r="C2106" s="8" t="s">
        <v>12712</v>
      </c>
      <c r="D2106" s="8" t="str">
        <f>"9783428574353"</f>
        <v>9783428574353</v>
      </c>
    </row>
    <row r="2107" spans="1:4" x14ac:dyDescent="0.25">
      <c r="A2107" s="7" t="s">
        <v>11745</v>
      </c>
      <c r="B2107" s="8" t="s">
        <v>11746</v>
      </c>
      <c r="C2107" s="8" t="s">
        <v>355</v>
      </c>
      <c r="D2107" s="8" t="str">
        <f>"9783110587678"</f>
        <v>9783110587678</v>
      </c>
    </row>
    <row r="2108" spans="1:4" ht="30" x14ac:dyDescent="0.25">
      <c r="A2108" s="7" t="s">
        <v>14160</v>
      </c>
      <c r="B2108" s="8" t="s">
        <v>14161</v>
      </c>
      <c r="C2108" s="8" t="s">
        <v>5086</v>
      </c>
      <c r="D2108" s="8" t="str">
        <f>"9783658394448"</f>
        <v>9783658394448</v>
      </c>
    </row>
    <row r="2109" spans="1:4" ht="45" x14ac:dyDescent="0.25">
      <c r="A2109" s="7" t="s">
        <v>2268</v>
      </c>
      <c r="B2109" s="8" t="s">
        <v>2269</v>
      </c>
      <c r="C2109" s="8" t="s">
        <v>316</v>
      </c>
      <c r="D2109" s="8" t="str">
        <f>"9783110977097"</f>
        <v>9783110977097</v>
      </c>
    </row>
    <row r="2110" spans="1:4" x14ac:dyDescent="0.25">
      <c r="A2110" s="7" t="s">
        <v>2744</v>
      </c>
      <c r="B2110" s="8" t="s">
        <v>2745</v>
      </c>
      <c r="C2110" s="8" t="s">
        <v>993</v>
      </c>
      <c r="D2110" s="8" t="str">
        <f>"9783839433140"</f>
        <v>9783839433140</v>
      </c>
    </row>
    <row r="2111" spans="1:4" x14ac:dyDescent="0.25">
      <c r="A2111" s="7" t="s">
        <v>7626</v>
      </c>
      <c r="B2111" s="8" t="s">
        <v>7627</v>
      </c>
      <c r="C2111" s="8" t="s">
        <v>993</v>
      </c>
      <c r="D2111" s="8" t="str">
        <f>"9783839422472"</f>
        <v>9783839422472</v>
      </c>
    </row>
    <row r="2112" spans="1:4" ht="30" x14ac:dyDescent="0.25">
      <c r="A2112" s="7" t="s">
        <v>11733</v>
      </c>
      <c r="B2112" s="8" t="s">
        <v>11734</v>
      </c>
      <c r="C2112" s="8" t="s">
        <v>355</v>
      </c>
      <c r="D2112" s="8" t="str">
        <f>"9783110727838"</f>
        <v>9783110727838</v>
      </c>
    </row>
    <row r="2113" spans="1:4" ht="30" x14ac:dyDescent="0.25">
      <c r="A2113" s="7" t="s">
        <v>11491</v>
      </c>
      <c r="B2113" s="8" t="s">
        <v>11492</v>
      </c>
      <c r="C2113" s="8" t="s">
        <v>355</v>
      </c>
      <c r="D2113" s="8" t="str">
        <f>"9783486755688"</f>
        <v>9783486755688</v>
      </c>
    </row>
    <row r="2114" spans="1:4" ht="30" x14ac:dyDescent="0.25">
      <c r="A2114" s="7" t="s">
        <v>2090</v>
      </c>
      <c r="B2114" s="8" t="s">
        <v>2091</v>
      </c>
      <c r="C2114" s="8" t="s">
        <v>1345</v>
      </c>
      <c r="D2114" s="8" t="str">
        <f>"9783862199471"</f>
        <v>9783862199471</v>
      </c>
    </row>
    <row r="2115" spans="1:4" x14ac:dyDescent="0.25">
      <c r="A2115" s="7" t="s">
        <v>11811</v>
      </c>
      <c r="B2115" s="8" t="s">
        <v>11812</v>
      </c>
      <c r="C2115" s="8" t="s">
        <v>355</v>
      </c>
      <c r="D2115" s="8" t="str">
        <f>"9783111460017"</f>
        <v>9783111460017</v>
      </c>
    </row>
    <row r="2116" spans="1:4" ht="30" x14ac:dyDescent="0.25">
      <c r="A2116" s="7" t="s">
        <v>10599</v>
      </c>
      <c r="B2116" s="8" t="s">
        <v>10600</v>
      </c>
      <c r="C2116" s="8" t="s">
        <v>993</v>
      </c>
      <c r="D2116" s="8" t="str">
        <f>"9783839461532"</f>
        <v>9783839461532</v>
      </c>
    </row>
    <row r="2117" spans="1:4" ht="30" x14ac:dyDescent="0.25">
      <c r="A2117" s="7" t="s">
        <v>7480</v>
      </c>
      <c r="B2117" s="8" t="s">
        <v>7481</v>
      </c>
      <c r="C2117" s="8" t="s">
        <v>993</v>
      </c>
      <c r="D2117" s="8" t="str">
        <f>"9783839434727"</f>
        <v>9783839434727</v>
      </c>
    </row>
    <row r="2118" spans="1:4" ht="45" x14ac:dyDescent="0.25">
      <c r="A2118" s="7" t="s">
        <v>13264</v>
      </c>
      <c r="B2118" s="8" t="s">
        <v>13265</v>
      </c>
      <c r="C2118" s="8" t="s">
        <v>12712</v>
      </c>
      <c r="D2118" s="8" t="str">
        <f>"9783428574308"</f>
        <v>9783428574308</v>
      </c>
    </row>
    <row r="2119" spans="1:4" ht="30" x14ac:dyDescent="0.25">
      <c r="A2119" s="7" t="s">
        <v>13268</v>
      </c>
      <c r="B2119" s="8" t="s">
        <v>13265</v>
      </c>
      <c r="C2119" s="8" t="s">
        <v>12712</v>
      </c>
      <c r="D2119" s="8" t="str">
        <f>"9783428574339"</f>
        <v>9783428574339</v>
      </c>
    </row>
    <row r="2120" spans="1:4" ht="30" x14ac:dyDescent="0.25">
      <c r="A2120" s="7" t="s">
        <v>13266</v>
      </c>
      <c r="B2120" s="8" t="s">
        <v>13265</v>
      </c>
      <c r="C2120" s="8" t="s">
        <v>12712</v>
      </c>
      <c r="D2120" s="8" t="str">
        <f>"9783428574315"</f>
        <v>9783428574315</v>
      </c>
    </row>
    <row r="2121" spans="1:4" ht="30" x14ac:dyDescent="0.25">
      <c r="A2121" s="7" t="s">
        <v>12927</v>
      </c>
      <c r="B2121" s="8" t="s">
        <v>12833</v>
      </c>
      <c r="C2121" s="8" t="s">
        <v>12712</v>
      </c>
      <c r="D2121" s="8" t="str">
        <f>"9783428451586"</f>
        <v>9783428451586</v>
      </c>
    </row>
    <row r="2122" spans="1:4" x14ac:dyDescent="0.25">
      <c r="A2122" s="7" t="s">
        <v>11833</v>
      </c>
      <c r="B2122" s="8" t="s">
        <v>11834</v>
      </c>
      <c r="C2122" s="8" t="s">
        <v>316</v>
      </c>
      <c r="D2122" s="8" t="str">
        <f>"9783111698212"</f>
        <v>9783111698212</v>
      </c>
    </row>
    <row r="2123" spans="1:4" x14ac:dyDescent="0.25">
      <c r="A2123" s="7" t="s">
        <v>11545</v>
      </c>
      <c r="B2123" s="8" t="s">
        <v>11546</v>
      </c>
      <c r="C2123" s="8" t="s">
        <v>355</v>
      </c>
      <c r="D2123" s="8" t="str">
        <f>"9783111578156"</f>
        <v>9783111578156</v>
      </c>
    </row>
    <row r="2124" spans="1:4" ht="30" x14ac:dyDescent="0.25">
      <c r="A2124" s="7" t="s">
        <v>492</v>
      </c>
      <c r="B2124" s="8" t="s">
        <v>493</v>
      </c>
      <c r="C2124" s="8" t="s">
        <v>316</v>
      </c>
      <c r="D2124" s="8" t="str">
        <f>"9783110278552"</f>
        <v>9783110278552</v>
      </c>
    </row>
    <row r="2125" spans="1:4" ht="30" x14ac:dyDescent="0.25">
      <c r="A2125" s="7" t="s">
        <v>3780</v>
      </c>
      <c r="B2125" s="8" t="s">
        <v>3781</v>
      </c>
      <c r="C2125" s="8" t="s">
        <v>1345</v>
      </c>
      <c r="D2125" s="8" t="str">
        <f>"9783737604895"</f>
        <v>9783737604895</v>
      </c>
    </row>
    <row r="2126" spans="1:4" ht="30" x14ac:dyDescent="0.25">
      <c r="A2126" s="7" t="s">
        <v>8316</v>
      </c>
      <c r="B2126" s="8" t="s">
        <v>8317</v>
      </c>
      <c r="C2126" s="8" t="s">
        <v>993</v>
      </c>
      <c r="D2126" s="8" t="str">
        <f>"9783839451854"</f>
        <v>9783839451854</v>
      </c>
    </row>
    <row r="2127" spans="1:4" x14ac:dyDescent="0.25">
      <c r="A2127" s="7" t="s">
        <v>731</v>
      </c>
      <c r="B2127" s="8" t="s">
        <v>732</v>
      </c>
      <c r="C2127" s="8" t="s">
        <v>316</v>
      </c>
      <c r="D2127" s="8" t="str">
        <f>"9783110329476"</f>
        <v>9783110329476</v>
      </c>
    </row>
    <row r="2128" spans="1:4" ht="30" x14ac:dyDescent="0.25">
      <c r="A2128" s="7" t="s">
        <v>10039</v>
      </c>
      <c r="B2128" s="8" t="s">
        <v>10040</v>
      </c>
      <c r="C2128" s="8" t="s">
        <v>993</v>
      </c>
      <c r="D2128" s="8" t="str">
        <f>"9783839411230"</f>
        <v>9783839411230</v>
      </c>
    </row>
    <row r="2129" spans="1:4" x14ac:dyDescent="0.25">
      <c r="A2129" s="7" t="s">
        <v>7750</v>
      </c>
      <c r="B2129" s="8" t="s">
        <v>7751</v>
      </c>
      <c r="C2129" s="8" t="s">
        <v>993</v>
      </c>
      <c r="D2129" s="8" t="str">
        <f>"9783839433416"</f>
        <v>9783839433416</v>
      </c>
    </row>
    <row r="2130" spans="1:4" ht="45" x14ac:dyDescent="0.25">
      <c r="A2130" s="7" t="s">
        <v>13320</v>
      </c>
      <c r="B2130" s="8" t="s">
        <v>13316</v>
      </c>
      <c r="C2130" s="8" t="s">
        <v>12712</v>
      </c>
      <c r="D2130" s="8" t="str">
        <f>"9783428574797"</f>
        <v>9783428574797</v>
      </c>
    </row>
    <row r="2131" spans="1:4" ht="30" x14ac:dyDescent="0.25">
      <c r="A2131" s="7" t="s">
        <v>13319</v>
      </c>
      <c r="B2131" s="8" t="s">
        <v>13316</v>
      </c>
      <c r="C2131" s="8" t="s">
        <v>12712</v>
      </c>
      <c r="D2131" s="8" t="str">
        <f>"9783428574780"</f>
        <v>9783428574780</v>
      </c>
    </row>
    <row r="2132" spans="1:4" ht="30" x14ac:dyDescent="0.25">
      <c r="A2132" s="7" t="s">
        <v>9781</v>
      </c>
      <c r="B2132" s="8" t="s">
        <v>9782</v>
      </c>
      <c r="C2132" s="8" t="s">
        <v>993</v>
      </c>
      <c r="D2132" s="8" t="str">
        <f>"9783839404508"</f>
        <v>9783839404508</v>
      </c>
    </row>
    <row r="2133" spans="1:4" x14ac:dyDescent="0.25">
      <c r="A2133" s="7" t="s">
        <v>11755</v>
      </c>
      <c r="B2133" s="8" t="s">
        <v>11756</v>
      </c>
      <c r="C2133" s="8" t="s">
        <v>355</v>
      </c>
      <c r="D2133" s="8" t="str">
        <f>"9783110622485"</f>
        <v>9783110622485</v>
      </c>
    </row>
    <row r="2134" spans="1:4" x14ac:dyDescent="0.25">
      <c r="A2134" s="7" t="s">
        <v>10065</v>
      </c>
      <c r="B2134" s="8" t="s">
        <v>10066</v>
      </c>
      <c r="C2134" s="8" t="s">
        <v>993</v>
      </c>
      <c r="D2134" s="8" t="str">
        <f>"9783839423424"</f>
        <v>9783839423424</v>
      </c>
    </row>
    <row r="2135" spans="1:4" ht="30" x14ac:dyDescent="0.25">
      <c r="A2135" s="7" t="s">
        <v>7768</v>
      </c>
      <c r="B2135" s="8" t="s">
        <v>7769</v>
      </c>
      <c r="C2135" s="8" t="s">
        <v>993</v>
      </c>
      <c r="D2135" s="8" t="str">
        <f>"9783839405536"</f>
        <v>9783839405536</v>
      </c>
    </row>
    <row r="2136" spans="1:4" ht="30" x14ac:dyDescent="0.25">
      <c r="A2136" s="7" t="s">
        <v>3773</v>
      </c>
      <c r="B2136" s="8" t="s">
        <v>3774</v>
      </c>
      <c r="C2136" s="8" t="s">
        <v>1345</v>
      </c>
      <c r="D2136" s="8" t="str">
        <f>"9783737605250"</f>
        <v>9783737605250</v>
      </c>
    </row>
    <row r="2137" spans="1:4" ht="30" x14ac:dyDescent="0.25">
      <c r="A2137" s="7" t="s">
        <v>9890</v>
      </c>
      <c r="B2137" s="8" t="s">
        <v>9891</v>
      </c>
      <c r="C2137" s="8" t="s">
        <v>993</v>
      </c>
      <c r="D2137" s="8" t="str">
        <f>"9783839407530"</f>
        <v>9783839407530</v>
      </c>
    </row>
    <row r="2138" spans="1:4" x14ac:dyDescent="0.25">
      <c r="A2138" s="7" t="s">
        <v>3459</v>
      </c>
      <c r="B2138" s="8" t="s">
        <v>1636</v>
      </c>
      <c r="C2138" s="8" t="s">
        <v>1345</v>
      </c>
      <c r="D2138" s="8" t="str">
        <f>"9783737603959"</f>
        <v>9783737603959</v>
      </c>
    </row>
    <row r="2139" spans="1:4" ht="30" x14ac:dyDescent="0.25">
      <c r="A2139" s="7" t="s">
        <v>10240</v>
      </c>
      <c r="B2139" s="8" t="s">
        <v>10241</v>
      </c>
      <c r="C2139" s="8" t="s">
        <v>993</v>
      </c>
      <c r="D2139" s="8" t="str">
        <f>"9783839445655"</f>
        <v>9783839445655</v>
      </c>
    </row>
    <row r="2140" spans="1:4" ht="30" x14ac:dyDescent="0.25">
      <c r="A2140" s="7" t="s">
        <v>9485</v>
      </c>
      <c r="B2140" s="8" t="s">
        <v>9486</v>
      </c>
      <c r="C2140" s="8" t="s">
        <v>5086</v>
      </c>
      <c r="D2140" s="8" t="str">
        <f>"9783658344917"</f>
        <v>9783658344917</v>
      </c>
    </row>
    <row r="2141" spans="1:4" ht="30" x14ac:dyDescent="0.25">
      <c r="A2141" s="7" t="s">
        <v>12179</v>
      </c>
      <c r="B2141" s="8" t="s">
        <v>12180</v>
      </c>
      <c r="C2141" s="8" t="s">
        <v>355</v>
      </c>
      <c r="D2141" s="8" t="str">
        <f>"9783110767711"</f>
        <v>9783110767711</v>
      </c>
    </row>
    <row r="2142" spans="1:4" ht="30" x14ac:dyDescent="0.25">
      <c r="A2142" s="7" t="s">
        <v>13074</v>
      </c>
      <c r="B2142" s="8" t="s">
        <v>13072</v>
      </c>
      <c r="C2142" s="8" t="s">
        <v>12712</v>
      </c>
      <c r="D2142" s="8" t="str">
        <f>"9783428572502"</f>
        <v>9783428572502</v>
      </c>
    </row>
    <row r="2143" spans="1:4" x14ac:dyDescent="0.25">
      <c r="A2143" s="7" t="s">
        <v>6331</v>
      </c>
      <c r="B2143" s="8" t="s">
        <v>6332</v>
      </c>
      <c r="C2143" s="8" t="s">
        <v>5942</v>
      </c>
      <c r="D2143" s="8" t="str">
        <f>"9783662628126"</f>
        <v>9783662628126</v>
      </c>
    </row>
    <row r="2144" spans="1:4" ht="30" x14ac:dyDescent="0.25">
      <c r="A2144" s="7" t="s">
        <v>11813</v>
      </c>
      <c r="B2144" s="8" t="s">
        <v>11814</v>
      </c>
      <c r="C2144" s="8" t="s">
        <v>355</v>
      </c>
      <c r="D2144" s="8" t="str">
        <f>"9783110722826"</f>
        <v>9783110722826</v>
      </c>
    </row>
    <row r="2145" spans="1:4" ht="30" x14ac:dyDescent="0.25">
      <c r="A2145" s="7" t="s">
        <v>10269</v>
      </c>
      <c r="B2145" s="8" t="s">
        <v>10270</v>
      </c>
      <c r="C2145" s="8" t="s">
        <v>993</v>
      </c>
      <c r="D2145" s="8" t="str">
        <f>"9783839446867"</f>
        <v>9783839446867</v>
      </c>
    </row>
    <row r="2146" spans="1:4" x14ac:dyDescent="0.25">
      <c r="A2146" s="7" t="s">
        <v>7515</v>
      </c>
      <c r="B2146" s="8" t="s">
        <v>7516</v>
      </c>
      <c r="C2146" s="8" t="s">
        <v>993</v>
      </c>
      <c r="D2146" s="8" t="str">
        <f>"9783839436073"</f>
        <v>9783839436073</v>
      </c>
    </row>
    <row r="2147" spans="1:4" ht="60" x14ac:dyDescent="0.25">
      <c r="A2147" s="7" t="s">
        <v>13333</v>
      </c>
      <c r="B2147" s="8" t="s">
        <v>13276</v>
      </c>
      <c r="C2147" s="8" t="s">
        <v>12712</v>
      </c>
      <c r="D2147" s="8" t="str">
        <f>"9783428574933"</f>
        <v>9783428574933</v>
      </c>
    </row>
    <row r="2148" spans="1:4" ht="30" x14ac:dyDescent="0.25">
      <c r="A2148" s="7" t="s">
        <v>14088</v>
      </c>
      <c r="B2148" s="8" t="s">
        <v>14089</v>
      </c>
      <c r="C2148" s="8" t="s">
        <v>993</v>
      </c>
      <c r="D2148" s="8" t="str">
        <f>"9783839464403"</f>
        <v>9783839464403</v>
      </c>
    </row>
    <row r="2149" spans="1:4" x14ac:dyDescent="0.25">
      <c r="A2149" s="7" t="s">
        <v>9672</v>
      </c>
      <c r="B2149" s="8" t="s">
        <v>9673</v>
      </c>
      <c r="C2149" s="8" t="s">
        <v>993</v>
      </c>
      <c r="D2149" s="8" t="str">
        <f>"9783839400838"</f>
        <v>9783839400838</v>
      </c>
    </row>
    <row r="2150" spans="1:4" ht="30" x14ac:dyDescent="0.25">
      <c r="A2150" s="7" t="s">
        <v>7567</v>
      </c>
      <c r="B2150" s="8" t="s">
        <v>7568</v>
      </c>
      <c r="C2150" s="8" t="s">
        <v>993</v>
      </c>
      <c r="D2150" s="8" t="str">
        <f>"9783839413784"</f>
        <v>9783839413784</v>
      </c>
    </row>
    <row r="2151" spans="1:4" ht="30" x14ac:dyDescent="0.25">
      <c r="A2151" s="7" t="s">
        <v>13479</v>
      </c>
      <c r="B2151" s="8" t="s">
        <v>13480</v>
      </c>
      <c r="C2151" s="8" t="s">
        <v>5086</v>
      </c>
      <c r="D2151" s="8" t="str">
        <f>"9783658392598"</f>
        <v>9783658392598</v>
      </c>
    </row>
    <row r="2152" spans="1:4" x14ac:dyDescent="0.25">
      <c r="A2152" s="7" t="s">
        <v>7683</v>
      </c>
      <c r="B2152" s="8" t="s">
        <v>7684</v>
      </c>
      <c r="C2152" s="8" t="s">
        <v>993</v>
      </c>
      <c r="D2152" s="8" t="str">
        <f>"9783839426968"</f>
        <v>9783839426968</v>
      </c>
    </row>
    <row r="2153" spans="1:4" ht="30" x14ac:dyDescent="0.25">
      <c r="A2153" s="7" t="s">
        <v>7918</v>
      </c>
      <c r="B2153" s="8" t="s">
        <v>7919</v>
      </c>
      <c r="C2153" s="8" t="s">
        <v>5086</v>
      </c>
      <c r="D2153" s="8" t="str">
        <f>"9783658351212"</f>
        <v>9783658351212</v>
      </c>
    </row>
    <row r="2154" spans="1:4" x14ac:dyDescent="0.25">
      <c r="A2154" s="7" t="s">
        <v>714</v>
      </c>
      <c r="B2154" s="8" t="s">
        <v>715</v>
      </c>
      <c r="C2154" s="8" t="s">
        <v>316</v>
      </c>
      <c r="D2154" s="8" t="str">
        <f>"9783110322682"</f>
        <v>9783110322682</v>
      </c>
    </row>
    <row r="2155" spans="1:4" x14ac:dyDescent="0.25">
      <c r="A2155" s="7" t="s">
        <v>11152</v>
      </c>
      <c r="B2155" s="8" t="s">
        <v>11153</v>
      </c>
      <c r="C2155" s="8" t="s">
        <v>355</v>
      </c>
      <c r="D2155" s="8" t="str">
        <f>"9783111574066"</f>
        <v>9783111574066</v>
      </c>
    </row>
    <row r="2156" spans="1:4" ht="45" x14ac:dyDescent="0.25">
      <c r="A2156" s="7" t="s">
        <v>13281</v>
      </c>
      <c r="B2156" s="8" t="s">
        <v>13276</v>
      </c>
      <c r="C2156" s="8" t="s">
        <v>12712</v>
      </c>
      <c r="D2156" s="8" t="str">
        <f>"9783428574445"</f>
        <v>9783428574445</v>
      </c>
    </row>
    <row r="2157" spans="1:4" ht="45" x14ac:dyDescent="0.25">
      <c r="A2157" s="7" t="s">
        <v>13277</v>
      </c>
      <c r="B2157" s="8" t="s">
        <v>13276</v>
      </c>
      <c r="C2157" s="8" t="s">
        <v>12712</v>
      </c>
      <c r="D2157" s="8" t="str">
        <f>"9783428574407"</f>
        <v>9783428574407</v>
      </c>
    </row>
    <row r="2158" spans="1:4" ht="45" x14ac:dyDescent="0.25">
      <c r="A2158" s="7" t="s">
        <v>13278</v>
      </c>
      <c r="B2158" s="8" t="s">
        <v>13276</v>
      </c>
      <c r="C2158" s="8" t="s">
        <v>12712</v>
      </c>
      <c r="D2158" s="8" t="str">
        <f>"9783428574414"</f>
        <v>9783428574414</v>
      </c>
    </row>
    <row r="2159" spans="1:4" ht="30" x14ac:dyDescent="0.25">
      <c r="A2159" s="7" t="s">
        <v>10064</v>
      </c>
      <c r="B2159" s="8" t="s">
        <v>115</v>
      </c>
      <c r="C2159" s="8" t="s">
        <v>993</v>
      </c>
      <c r="D2159" s="8" t="str">
        <f>"9783839421925"</f>
        <v>9783839421925</v>
      </c>
    </row>
    <row r="2160" spans="1:4" ht="30" x14ac:dyDescent="0.25">
      <c r="A2160" s="7" t="s">
        <v>12868</v>
      </c>
      <c r="B2160" s="8" t="s">
        <v>12722</v>
      </c>
      <c r="C2160" s="8" t="s">
        <v>12712</v>
      </c>
      <c r="D2160" s="8" t="str">
        <f>"9783428441020"</f>
        <v>9783428441020</v>
      </c>
    </row>
    <row r="2161" spans="1:4" ht="30" x14ac:dyDescent="0.25">
      <c r="A2161" s="7" t="s">
        <v>8260</v>
      </c>
      <c r="B2161" s="8" t="s">
        <v>8261</v>
      </c>
      <c r="C2161" s="8" t="s">
        <v>993</v>
      </c>
      <c r="D2161" s="8" t="str">
        <f>"9783839449097"</f>
        <v>9783839449097</v>
      </c>
    </row>
    <row r="2162" spans="1:4" ht="30" x14ac:dyDescent="0.25">
      <c r="A2162" s="7" t="s">
        <v>1461</v>
      </c>
      <c r="B2162" s="8" t="s">
        <v>1462</v>
      </c>
      <c r="C2162" s="8" t="s">
        <v>1345</v>
      </c>
      <c r="D2162" s="8" t="str">
        <f>"9783862193295"</f>
        <v>9783862193295</v>
      </c>
    </row>
    <row r="2163" spans="1:4" ht="45" x14ac:dyDescent="0.25">
      <c r="A2163" s="7" t="s">
        <v>13079</v>
      </c>
      <c r="B2163" s="8" t="s">
        <v>13080</v>
      </c>
      <c r="C2163" s="8" t="s">
        <v>12712</v>
      </c>
      <c r="D2163" s="8" t="str">
        <f>"9783428572557"</f>
        <v>9783428572557</v>
      </c>
    </row>
    <row r="2164" spans="1:4" ht="30" x14ac:dyDescent="0.25">
      <c r="A2164" s="7" t="s">
        <v>13323</v>
      </c>
      <c r="B2164" s="8" t="s">
        <v>13324</v>
      </c>
      <c r="C2164" s="8" t="s">
        <v>12712</v>
      </c>
      <c r="D2164" s="8" t="str">
        <f>"9783428574827"</f>
        <v>9783428574827</v>
      </c>
    </row>
    <row r="2165" spans="1:4" ht="30" x14ac:dyDescent="0.25">
      <c r="A2165" s="7" t="s">
        <v>13082</v>
      </c>
      <c r="B2165" s="8" t="s">
        <v>13072</v>
      </c>
      <c r="C2165" s="8" t="s">
        <v>12712</v>
      </c>
      <c r="D2165" s="8" t="str">
        <f>"9783428572571"</f>
        <v>9783428572571</v>
      </c>
    </row>
    <row r="2166" spans="1:4" x14ac:dyDescent="0.25">
      <c r="A2166" s="7" t="s">
        <v>11835</v>
      </c>
      <c r="B2166" s="8" t="s">
        <v>11836</v>
      </c>
      <c r="C2166" s="8" t="s">
        <v>355</v>
      </c>
      <c r="D2166" s="8" t="str">
        <f>"9783111646213"</f>
        <v>9783111646213</v>
      </c>
    </row>
    <row r="2167" spans="1:4" x14ac:dyDescent="0.25">
      <c r="A2167" s="7" t="s">
        <v>7438</v>
      </c>
      <c r="B2167" s="8" t="s">
        <v>7439</v>
      </c>
      <c r="C2167" s="8" t="s">
        <v>993</v>
      </c>
      <c r="D2167" s="8" t="str">
        <f>"9783839436950"</f>
        <v>9783839436950</v>
      </c>
    </row>
    <row r="2168" spans="1:4" x14ac:dyDescent="0.25">
      <c r="A2168" s="7" t="s">
        <v>13696</v>
      </c>
      <c r="B2168" s="8" t="s">
        <v>13697</v>
      </c>
      <c r="C2168" s="8" t="s">
        <v>993</v>
      </c>
      <c r="D2168" s="8" t="str">
        <f>"9783839460108"</f>
        <v>9783839460108</v>
      </c>
    </row>
    <row r="2169" spans="1:4" ht="30" x14ac:dyDescent="0.25">
      <c r="A2169" s="7" t="s">
        <v>3092</v>
      </c>
      <c r="B2169" s="8" t="s">
        <v>3093</v>
      </c>
      <c r="C2169" s="8" t="s">
        <v>1345</v>
      </c>
      <c r="D2169" s="8" t="str">
        <f>"9783737602990"</f>
        <v>9783737602990</v>
      </c>
    </row>
    <row r="2170" spans="1:4" x14ac:dyDescent="0.25">
      <c r="A2170" s="7" t="s">
        <v>7078</v>
      </c>
      <c r="B2170" s="8" t="s">
        <v>7079</v>
      </c>
      <c r="C2170" s="8" t="s">
        <v>355</v>
      </c>
      <c r="D2170" s="8" t="str">
        <f>"9783110624113"</f>
        <v>9783110624113</v>
      </c>
    </row>
    <row r="2171" spans="1:4" ht="30" x14ac:dyDescent="0.25">
      <c r="A2171" s="7" t="s">
        <v>1395</v>
      </c>
      <c r="B2171" s="8" t="s">
        <v>1396</v>
      </c>
      <c r="C2171" s="8" t="s">
        <v>1345</v>
      </c>
      <c r="D2171" s="8" t="str">
        <f>""</f>
        <v/>
      </c>
    </row>
    <row r="2172" spans="1:4" ht="30" x14ac:dyDescent="0.25">
      <c r="A2172" s="7" t="s">
        <v>1203</v>
      </c>
      <c r="B2172" s="8" t="s">
        <v>1204</v>
      </c>
      <c r="C2172" s="8" t="s">
        <v>355</v>
      </c>
      <c r="D2172" s="8" t="str">
        <f>"9783486849202"</f>
        <v>9783486849202</v>
      </c>
    </row>
    <row r="2173" spans="1:4" ht="30" x14ac:dyDescent="0.25">
      <c r="A2173" s="7" t="s">
        <v>11345</v>
      </c>
      <c r="B2173" s="8" t="s">
        <v>11346</v>
      </c>
      <c r="C2173" s="8" t="s">
        <v>355</v>
      </c>
      <c r="D2173" s="8" t="str">
        <f>"9783110630503"</f>
        <v>9783110630503</v>
      </c>
    </row>
    <row r="2174" spans="1:4" ht="30" x14ac:dyDescent="0.25">
      <c r="A2174" s="7" t="s">
        <v>4135</v>
      </c>
      <c r="B2174" s="8" t="s">
        <v>4136</v>
      </c>
      <c r="C2174" s="8" t="s">
        <v>355</v>
      </c>
      <c r="D2174" s="8" t="str">
        <f>"9783486833980"</f>
        <v>9783486833980</v>
      </c>
    </row>
    <row r="2175" spans="1:4" ht="30" x14ac:dyDescent="0.25">
      <c r="A2175" s="7" t="s">
        <v>9916</v>
      </c>
      <c r="B2175" s="8" t="s">
        <v>9917</v>
      </c>
      <c r="C2175" s="8" t="s">
        <v>993</v>
      </c>
      <c r="D2175" s="8" t="str">
        <f>"9783839408032"</f>
        <v>9783839408032</v>
      </c>
    </row>
    <row r="2176" spans="1:4" x14ac:dyDescent="0.25">
      <c r="A2176" s="7" t="s">
        <v>12928</v>
      </c>
      <c r="B2176" s="8" t="s">
        <v>12903</v>
      </c>
      <c r="C2176" s="8" t="s">
        <v>12712</v>
      </c>
      <c r="D2176" s="8" t="str">
        <f>"9783428451623"</f>
        <v>9783428451623</v>
      </c>
    </row>
    <row r="2177" spans="1:4" ht="45" x14ac:dyDescent="0.25">
      <c r="A2177" s="7" t="s">
        <v>8865</v>
      </c>
      <c r="B2177" s="8" t="s">
        <v>8866</v>
      </c>
      <c r="C2177" s="8" t="s">
        <v>5086</v>
      </c>
      <c r="D2177" s="8" t="str">
        <f>"9783658361297"</f>
        <v>9783658361297</v>
      </c>
    </row>
    <row r="2178" spans="1:4" ht="30" x14ac:dyDescent="0.25">
      <c r="A2178" s="7" t="s">
        <v>1209</v>
      </c>
      <c r="B2178" s="8" t="s">
        <v>1210</v>
      </c>
      <c r="C2178" s="8" t="s">
        <v>355</v>
      </c>
      <c r="D2178" s="8" t="str">
        <f>"9783486848403"</f>
        <v>9783486848403</v>
      </c>
    </row>
    <row r="2179" spans="1:4" ht="30" x14ac:dyDescent="0.25">
      <c r="A2179" s="7" t="s">
        <v>10195</v>
      </c>
      <c r="B2179" s="8" t="s">
        <v>10196</v>
      </c>
      <c r="C2179" s="8" t="s">
        <v>993</v>
      </c>
      <c r="D2179" s="8" t="str">
        <f>"9783839443743"</f>
        <v>9783839443743</v>
      </c>
    </row>
    <row r="2180" spans="1:4" ht="45" x14ac:dyDescent="0.25">
      <c r="A2180" s="7" t="s">
        <v>13188</v>
      </c>
      <c r="B2180" s="8" t="s">
        <v>13072</v>
      </c>
      <c r="C2180" s="8" t="s">
        <v>12712</v>
      </c>
      <c r="D2180" s="8" t="str">
        <f>"9783428573493"</f>
        <v>9783428573493</v>
      </c>
    </row>
    <row r="2181" spans="1:4" ht="45" x14ac:dyDescent="0.25">
      <c r="A2181" s="7" t="s">
        <v>13184</v>
      </c>
      <c r="B2181" s="8" t="s">
        <v>13072</v>
      </c>
      <c r="C2181" s="8" t="s">
        <v>12712</v>
      </c>
      <c r="D2181" s="8" t="str">
        <f>"9783428573479"</f>
        <v>9783428573479</v>
      </c>
    </row>
    <row r="2182" spans="1:4" ht="60" x14ac:dyDescent="0.25">
      <c r="A2182" s="7" t="s">
        <v>13186</v>
      </c>
      <c r="B2182" s="8" t="s">
        <v>13187</v>
      </c>
      <c r="C2182" s="8" t="s">
        <v>12712</v>
      </c>
      <c r="D2182" s="8" t="str">
        <f>"9783428573486"</f>
        <v>9783428573486</v>
      </c>
    </row>
    <row r="2183" spans="1:4" ht="30" x14ac:dyDescent="0.25">
      <c r="A2183" s="7" t="s">
        <v>7667</v>
      </c>
      <c r="B2183" s="8" t="s">
        <v>7668</v>
      </c>
      <c r="C2183" s="8" t="s">
        <v>993</v>
      </c>
      <c r="D2183" s="8" t="str">
        <f>"9783839426401"</f>
        <v>9783839426401</v>
      </c>
    </row>
    <row r="2184" spans="1:4" x14ac:dyDescent="0.25">
      <c r="A2184" s="7" t="s">
        <v>12895</v>
      </c>
      <c r="B2184" s="8" t="s">
        <v>12896</v>
      </c>
      <c r="C2184" s="8" t="s">
        <v>12712</v>
      </c>
      <c r="D2184" s="8" t="str">
        <f>"9783428445097"</f>
        <v>9783428445097</v>
      </c>
    </row>
    <row r="2185" spans="1:4" ht="30" x14ac:dyDescent="0.25">
      <c r="A2185" s="7" t="s">
        <v>7565</v>
      </c>
      <c r="B2185" s="8" t="s">
        <v>7566</v>
      </c>
      <c r="C2185" s="8" t="s">
        <v>993</v>
      </c>
      <c r="D2185" s="8" t="str">
        <f>"9783839415757"</f>
        <v>9783839415757</v>
      </c>
    </row>
    <row r="2186" spans="1:4" ht="30" x14ac:dyDescent="0.25">
      <c r="A2186" s="7" t="s">
        <v>1633</v>
      </c>
      <c r="B2186" s="8" t="s">
        <v>1634</v>
      </c>
      <c r="C2186" s="8" t="s">
        <v>1345</v>
      </c>
      <c r="D2186" s="8" t="str">
        <f>"9783862191871"</f>
        <v>9783862191871</v>
      </c>
    </row>
    <row r="2187" spans="1:4" ht="30" x14ac:dyDescent="0.25">
      <c r="A2187" s="7" t="s">
        <v>4036</v>
      </c>
      <c r="B2187" s="8" t="s">
        <v>4037</v>
      </c>
      <c r="C2187" s="8" t="s">
        <v>316</v>
      </c>
      <c r="D2187" s="8" t="str">
        <f>"9783110920017"</f>
        <v>9783110920017</v>
      </c>
    </row>
    <row r="2188" spans="1:4" ht="60" x14ac:dyDescent="0.25">
      <c r="A2188" s="7" t="s">
        <v>1115</v>
      </c>
      <c r="B2188" s="8" t="s">
        <v>1116</v>
      </c>
      <c r="C2188" s="8" t="s">
        <v>316</v>
      </c>
      <c r="D2188" s="8" t="str">
        <f>"9783110902013"</f>
        <v>9783110902013</v>
      </c>
    </row>
    <row r="2189" spans="1:4" ht="45" x14ac:dyDescent="0.25">
      <c r="A2189" s="7" t="s">
        <v>1107</v>
      </c>
      <c r="B2189" s="8" t="s">
        <v>1108</v>
      </c>
      <c r="C2189" s="8" t="s">
        <v>316</v>
      </c>
      <c r="D2189" s="8" t="str">
        <f>"9783110893496"</f>
        <v>9783110893496</v>
      </c>
    </row>
    <row r="2190" spans="1:4" ht="75" x14ac:dyDescent="0.25">
      <c r="A2190" s="7" t="s">
        <v>1093</v>
      </c>
      <c r="B2190" s="8" t="s">
        <v>1094</v>
      </c>
      <c r="C2190" s="8" t="s">
        <v>316</v>
      </c>
      <c r="D2190" s="8" t="str">
        <f>"9783110909852"</f>
        <v>9783110909852</v>
      </c>
    </row>
    <row r="2191" spans="1:4" x14ac:dyDescent="0.25">
      <c r="A2191" s="7" t="s">
        <v>11936</v>
      </c>
      <c r="B2191" s="8" t="s">
        <v>61</v>
      </c>
      <c r="C2191" s="8" t="s">
        <v>355</v>
      </c>
      <c r="D2191" s="8" t="str">
        <f>"9783110722758"</f>
        <v>9783110722758</v>
      </c>
    </row>
    <row r="2192" spans="1:4" ht="60" x14ac:dyDescent="0.25">
      <c r="A2192" s="7" t="s">
        <v>13208</v>
      </c>
      <c r="B2192" s="8" t="s">
        <v>13209</v>
      </c>
      <c r="C2192" s="8" t="s">
        <v>12712</v>
      </c>
      <c r="D2192" s="8" t="str">
        <f>"9783428573691"</f>
        <v>9783428573691</v>
      </c>
    </row>
    <row r="2193" spans="1:4" x14ac:dyDescent="0.25">
      <c r="A2193" s="7" t="s">
        <v>13027</v>
      </c>
      <c r="B2193" s="8" t="s">
        <v>13028</v>
      </c>
      <c r="C2193" s="8" t="s">
        <v>12712</v>
      </c>
      <c r="D2193" s="8" t="str">
        <f>"9783428473410"</f>
        <v>9783428473410</v>
      </c>
    </row>
    <row r="2194" spans="1:4" ht="30" x14ac:dyDescent="0.25">
      <c r="A2194" s="7" t="s">
        <v>12755</v>
      </c>
      <c r="B2194" s="8" t="s">
        <v>12749</v>
      </c>
      <c r="C2194" s="8" t="s">
        <v>12712</v>
      </c>
      <c r="D2194" s="8" t="str">
        <f>"9783428414666"</f>
        <v>9783428414666</v>
      </c>
    </row>
    <row r="2195" spans="1:4" x14ac:dyDescent="0.25">
      <c r="A2195" s="7" t="s">
        <v>2337</v>
      </c>
      <c r="B2195" s="8" t="s">
        <v>2338</v>
      </c>
      <c r="C2195" s="8" t="s">
        <v>993</v>
      </c>
      <c r="D2195" s="8" t="str">
        <f>"9783839409985"</f>
        <v>9783839409985</v>
      </c>
    </row>
    <row r="2196" spans="1:4" ht="45" x14ac:dyDescent="0.25">
      <c r="A2196" s="7" t="s">
        <v>13195</v>
      </c>
      <c r="B2196" s="8" t="s">
        <v>13072</v>
      </c>
      <c r="C2196" s="8" t="s">
        <v>12712</v>
      </c>
      <c r="D2196" s="8" t="str">
        <f>"9783428573554"</f>
        <v>9783428573554</v>
      </c>
    </row>
    <row r="2197" spans="1:4" ht="45" x14ac:dyDescent="0.25">
      <c r="A2197" s="7" t="s">
        <v>13194</v>
      </c>
      <c r="B2197" s="8" t="s">
        <v>13072</v>
      </c>
      <c r="C2197" s="8" t="s">
        <v>12712</v>
      </c>
      <c r="D2197" s="8" t="str">
        <f>"9783428573530"</f>
        <v>9783428573530</v>
      </c>
    </row>
    <row r="2198" spans="1:4" ht="45" x14ac:dyDescent="0.25">
      <c r="A2198" s="7" t="s">
        <v>13197</v>
      </c>
      <c r="B2198" s="8" t="s">
        <v>13072</v>
      </c>
      <c r="C2198" s="8" t="s">
        <v>12712</v>
      </c>
      <c r="D2198" s="8" t="str">
        <f>"9783428573578"</f>
        <v>9783428573578</v>
      </c>
    </row>
    <row r="2199" spans="1:4" ht="45" x14ac:dyDescent="0.25">
      <c r="A2199" s="7" t="s">
        <v>13198</v>
      </c>
      <c r="B2199" s="8" t="s">
        <v>13072</v>
      </c>
      <c r="C2199" s="8" t="s">
        <v>12712</v>
      </c>
      <c r="D2199" s="8" t="str">
        <f>"9783428573592"</f>
        <v>9783428573592</v>
      </c>
    </row>
    <row r="2200" spans="1:4" ht="45" x14ac:dyDescent="0.25">
      <c r="A2200" s="7" t="s">
        <v>13196</v>
      </c>
      <c r="B2200" s="8" t="s">
        <v>13072</v>
      </c>
      <c r="C2200" s="8" t="s">
        <v>12712</v>
      </c>
      <c r="D2200" s="8" t="str">
        <f>"9783428573561"</f>
        <v>9783428573561</v>
      </c>
    </row>
    <row r="2201" spans="1:4" ht="45" x14ac:dyDescent="0.25">
      <c r="A2201" s="7" t="s">
        <v>13193</v>
      </c>
      <c r="B2201" s="8" t="s">
        <v>13072</v>
      </c>
      <c r="C2201" s="8" t="s">
        <v>12712</v>
      </c>
      <c r="D2201" s="8" t="str">
        <f>"9783428573547"</f>
        <v>9783428573547</v>
      </c>
    </row>
    <row r="2202" spans="1:4" ht="45" x14ac:dyDescent="0.25">
      <c r="A2202" s="7" t="s">
        <v>11501</v>
      </c>
      <c r="B2202" s="8" t="s">
        <v>11502</v>
      </c>
      <c r="C2202" s="8" t="s">
        <v>355</v>
      </c>
      <c r="D2202" s="8" t="str">
        <f>"9783486777932"</f>
        <v>9783486777932</v>
      </c>
    </row>
    <row r="2203" spans="1:4" ht="30" x14ac:dyDescent="0.25">
      <c r="A2203" s="7" t="s">
        <v>4308</v>
      </c>
      <c r="B2203" s="8" t="s">
        <v>4309</v>
      </c>
      <c r="C2203" s="8" t="s">
        <v>1345</v>
      </c>
      <c r="D2203" s="8" t="str">
        <f>"9783737606233"</f>
        <v>9783737606233</v>
      </c>
    </row>
    <row r="2204" spans="1:4" x14ac:dyDescent="0.25">
      <c r="A2204" s="7" t="s">
        <v>13038</v>
      </c>
      <c r="B2204" s="8" t="s">
        <v>13039</v>
      </c>
      <c r="C2204" s="8" t="s">
        <v>12712</v>
      </c>
      <c r="D2204" s="8" t="str">
        <f>"9783428482917"</f>
        <v>9783428482917</v>
      </c>
    </row>
    <row r="2205" spans="1:4" x14ac:dyDescent="0.25">
      <c r="A2205" s="7" t="s">
        <v>10463</v>
      </c>
      <c r="B2205" s="8" t="s">
        <v>10464</v>
      </c>
      <c r="C2205" s="8" t="s">
        <v>993</v>
      </c>
      <c r="D2205" s="8" t="str">
        <f>"9783839457269"</f>
        <v>9783839457269</v>
      </c>
    </row>
    <row r="2206" spans="1:4" ht="30" x14ac:dyDescent="0.25">
      <c r="A2206" s="7" t="s">
        <v>12554</v>
      </c>
      <c r="B2206" s="8" t="s">
        <v>12555</v>
      </c>
      <c r="C2206" s="8" t="s">
        <v>5086</v>
      </c>
      <c r="D2206" s="8" t="str">
        <f>"9783658388577"</f>
        <v>9783658388577</v>
      </c>
    </row>
    <row r="2207" spans="1:4" ht="30" x14ac:dyDescent="0.25">
      <c r="A2207" s="7" t="s">
        <v>11659</v>
      </c>
      <c r="B2207" s="8" t="s">
        <v>11660</v>
      </c>
      <c r="C2207" s="8" t="s">
        <v>355</v>
      </c>
      <c r="D2207" s="8" t="str">
        <f>"9783110693447"</f>
        <v>9783110693447</v>
      </c>
    </row>
    <row r="2208" spans="1:4" x14ac:dyDescent="0.25">
      <c r="A2208" s="7" t="s">
        <v>7521</v>
      </c>
      <c r="B2208" s="8" t="s">
        <v>7522</v>
      </c>
      <c r="C2208" s="8" t="s">
        <v>993</v>
      </c>
      <c r="D2208" s="8" t="str">
        <f>"9783839410127"</f>
        <v>9783839410127</v>
      </c>
    </row>
    <row r="2209" spans="1:4" x14ac:dyDescent="0.25">
      <c r="A2209" s="7" t="s">
        <v>12909</v>
      </c>
      <c r="B2209" s="8" t="s">
        <v>12910</v>
      </c>
      <c r="C2209" s="8" t="s">
        <v>12712</v>
      </c>
      <c r="D2209" s="8" t="str">
        <f>"9783428447930"</f>
        <v>9783428447930</v>
      </c>
    </row>
    <row r="2210" spans="1:4" x14ac:dyDescent="0.25">
      <c r="A2210" s="7" t="s">
        <v>9744</v>
      </c>
      <c r="B2210" s="8" t="s">
        <v>9745</v>
      </c>
      <c r="C2210" s="8" t="s">
        <v>993</v>
      </c>
      <c r="D2210" s="8" t="str">
        <f>"9783839403327"</f>
        <v>9783839403327</v>
      </c>
    </row>
    <row r="2211" spans="1:4" x14ac:dyDescent="0.25">
      <c r="A2211" s="7" t="s">
        <v>13707</v>
      </c>
      <c r="B2211" s="8" t="s">
        <v>13708</v>
      </c>
      <c r="C2211" s="8" t="s">
        <v>993</v>
      </c>
      <c r="D2211" s="8" t="str">
        <f>"9783839463062"</f>
        <v>9783839463062</v>
      </c>
    </row>
    <row r="2212" spans="1:4" x14ac:dyDescent="0.25">
      <c r="A2212" s="7" t="s">
        <v>11332</v>
      </c>
      <c r="B2212" s="8" t="s">
        <v>11333</v>
      </c>
      <c r="C2212" s="8" t="s">
        <v>355</v>
      </c>
      <c r="D2212" s="8" t="str">
        <f>"9783111422367"</f>
        <v>9783111422367</v>
      </c>
    </row>
    <row r="2213" spans="1:4" x14ac:dyDescent="0.25">
      <c r="A2213" s="7" t="s">
        <v>9817</v>
      </c>
      <c r="B2213" s="8" t="s">
        <v>9818</v>
      </c>
      <c r="C2213" s="8" t="s">
        <v>993</v>
      </c>
      <c r="D2213" s="8" t="str">
        <f>"9783839405253"</f>
        <v>9783839405253</v>
      </c>
    </row>
    <row r="2214" spans="1:4" ht="45" x14ac:dyDescent="0.25">
      <c r="A2214" s="7" t="s">
        <v>13361</v>
      </c>
      <c r="B2214" s="8" t="s">
        <v>13362</v>
      </c>
      <c r="C2214" s="8" t="s">
        <v>12712</v>
      </c>
      <c r="D2214" s="8" t="str">
        <f>"9783428575213"</f>
        <v>9783428575213</v>
      </c>
    </row>
    <row r="2215" spans="1:4" ht="30" x14ac:dyDescent="0.25">
      <c r="A2215" s="7" t="s">
        <v>13360</v>
      </c>
      <c r="B2215" s="8" t="s">
        <v>185</v>
      </c>
      <c r="C2215" s="8" t="s">
        <v>12712</v>
      </c>
      <c r="D2215" s="8" t="str">
        <f>"9783428575190"</f>
        <v>9783428575190</v>
      </c>
    </row>
    <row r="2216" spans="1:4" ht="30" x14ac:dyDescent="0.25">
      <c r="A2216" s="7" t="s">
        <v>13363</v>
      </c>
      <c r="B2216" s="8" t="s">
        <v>185</v>
      </c>
      <c r="C2216" s="8" t="s">
        <v>12712</v>
      </c>
      <c r="D2216" s="8" t="str">
        <f>"9783428575206"</f>
        <v>9783428575206</v>
      </c>
    </row>
    <row r="2217" spans="1:4" ht="45" x14ac:dyDescent="0.25">
      <c r="A2217" s="7" t="s">
        <v>1126</v>
      </c>
      <c r="B2217" s="8" t="s">
        <v>1127</v>
      </c>
      <c r="C2217" s="8" t="s">
        <v>316</v>
      </c>
      <c r="D2217" s="8" t="str">
        <f>"9783110921502"</f>
        <v>9783110921502</v>
      </c>
    </row>
    <row r="2218" spans="1:4" ht="60" x14ac:dyDescent="0.25">
      <c r="A2218" s="7" t="s">
        <v>1113</v>
      </c>
      <c r="B2218" s="8" t="s">
        <v>1114</v>
      </c>
      <c r="C2218" s="8" t="s">
        <v>316</v>
      </c>
      <c r="D2218" s="8" t="str">
        <f>"9783110906646"</f>
        <v>9783110906646</v>
      </c>
    </row>
    <row r="2219" spans="1:4" x14ac:dyDescent="0.25">
      <c r="A2219" s="7" t="s">
        <v>12870</v>
      </c>
      <c r="B2219" s="8" t="s">
        <v>12871</v>
      </c>
      <c r="C2219" s="8" t="s">
        <v>12712</v>
      </c>
      <c r="D2219" s="8" t="str">
        <f>"9783428441334"</f>
        <v>9783428441334</v>
      </c>
    </row>
    <row r="2220" spans="1:4" ht="30" x14ac:dyDescent="0.25">
      <c r="A2220" s="7" t="s">
        <v>12181</v>
      </c>
      <c r="B2220" s="8" t="s">
        <v>12182</v>
      </c>
      <c r="C2220" s="8" t="s">
        <v>355</v>
      </c>
      <c r="D2220" s="8" t="str">
        <f>"9783110765113"</f>
        <v>9783110765113</v>
      </c>
    </row>
    <row r="2221" spans="1:4" ht="75" x14ac:dyDescent="0.25">
      <c r="A2221" s="7" t="s">
        <v>13137</v>
      </c>
      <c r="B2221" s="8" t="s">
        <v>13138</v>
      </c>
      <c r="C2221" s="8" t="s">
        <v>12712</v>
      </c>
      <c r="D2221" s="8" t="str">
        <f>"9783428573028"</f>
        <v>9783428573028</v>
      </c>
    </row>
    <row r="2222" spans="1:4" ht="90" x14ac:dyDescent="0.25">
      <c r="A2222" s="7" t="s">
        <v>13136</v>
      </c>
      <c r="B2222" s="8" t="s">
        <v>13072</v>
      </c>
      <c r="C2222" s="8" t="s">
        <v>12712</v>
      </c>
      <c r="D2222" s="8" t="str">
        <f>"9783428573011"</f>
        <v>9783428573011</v>
      </c>
    </row>
    <row r="2223" spans="1:4" ht="60" x14ac:dyDescent="0.25">
      <c r="A2223" s="7" t="s">
        <v>13135</v>
      </c>
      <c r="B2223" s="8" t="s">
        <v>13072</v>
      </c>
      <c r="C2223" s="8" t="s">
        <v>12712</v>
      </c>
      <c r="D2223" s="8" t="str">
        <f>"9783428573004"</f>
        <v>9783428573004</v>
      </c>
    </row>
    <row r="2224" spans="1:4" x14ac:dyDescent="0.25">
      <c r="A2224" s="7" t="s">
        <v>1787</v>
      </c>
      <c r="B2224" s="8" t="s">
        <v>1788</v>
      </c>
      <c r="C2224" s="8" t="s">
        <v>1345</v>
      </c>
      <c r="D2224" s="8" t="str">
        <f>"9783862197118"</f>
        <v>9783862197118</v>
      </c>
    </row>
    <row r="2225" spans="1:4" ht="30" x14ac:dyDescent="0.25">
      <c r="A2225" s="7" t="s">
        <v>9883</v>
      </c>
      <c r="B2225" s="8" t="s">
        <v>9884</v>
      </c>
      <c r="C2225" s="8" t="s">
        <v>993</v>
      </c>
      <c r="D2225" s="8" t="str">
        <f>"9783839407387"</f>
        <v>9783839407387</v>
      </c>
    </row>
    <row r="2226" spans="1:4" ht="60" x14ac:dyDescent="0.25">
      <c r="A2226" s="7" t="s">
        <v>13261</v>
      </c>
      <c r="B2226" s="8" t="s">
        <v>185</v>
      </c>
      <c r="C2226" s="8" t="s">
        <v>12712</v>
      </c>
      <c r="D2226" s="8" t="str">
        <f>"9783428574278"</f>
        <v>9783428574278</v>
      </c>
    </row>
    <row r="2227" spans="1:4" ht="30" x14ac:dyDescent="0.25">
      <c r="A2227" s="7" t="s">
        <v>10035</v>
      </c>
      <c r="B2227" s="8" t="s">
        <v>10036</v>
      </c>
      <c r="C2227" s="8" t="s">
        <v>993</v>
      </c>
      <c r="D2227" s="8" t="str">
        <f>"9783839411179"</f>
        <v>9783839411179</v>
      </c>
    </row>
    <row r="2228" spans="1:4" x14ac:dyDescent="0.25">
      <c r="A2228" s="7" t="s">
        <v>12499</v>
      </c>
      <c r="B2228" s="8" t="s">
        <v>12500</v>
      </c>
      <c r="C2228" s="8" t="s">
        <v>5086</v>
      </c>
      <c r="D2228" s="8" t="str">
        <f>"9783658388058"</f>
        <v>9783658388058</v>
      </c>
    </row>
    <row r="2229" spans="1:4" x14ac:dyDescent="0.25">
      <c r="A2229" s="7" t="s">
        <v>12786</v>
      </c>
      <c r="B2229" s="8" t="s">
        <v>12787</v>
      </c>
      <c r="C2229" s="8" t="s">
        <v>12712</v>
      </c>
      <c r="D2229" s="8" t="str">
        <f>"9783428422050"</f>
        <v>9783428422050</v>
      </c>
    </row>
    <row r="2230" spans="1:4" ht="45" x14ac:dyDescent="0.25">
      <c r="A2230" s="7" t="s">
        <v>13112</v>
      </c>
      <c r="B2230" s="8" t="s">
        <v>13072</v>
      </c>
      <c r="C2230" s="8" t="s">
        <v>12712</v>
      </c>
      <c r="D2230" s="8" t="str">
        <f>"9783428572816"</f>
        <v>9783428572816</v>
      </c>
    </row>
    <row r="2231" spans="1:4" x14ac:dyDescent="0.25">
      <c r="A2231" s="7" t="s">
        <v>11819</v>
      </c>
      <c r="B2231" s="8" t="s">
        <v>11820</v>
      </c>
      <c r="C2231" s="8" t="s">
        <v>355</v>
      </c>
      <c r="D2231" s="8" t="str">
        <f>"9783111727066"</f>
        <v>9783111727066</v>
      </c>
    </row>
    <row r="2232" spans="1:4" x14ac:dyDescent="0.25">
      <c r="A2232" s="7" t="s">
        <v>10088</v>
      </c>
      <c r="B2232" s="8" t="s">
        <v>7174</v>
      </c>
      <c r="C2232" s="8" t="s">
        <v>993</v>
      </c>
      <c r="D2232" s="8" t="str">
        <f>"9783839432457"</f>
        <v>9783839432457</v>
      </c>
    </row>
    <row r="2233" spans="1:4" ht="30" x14ac:dyDescent="0.25">
      <c r="A2233" s="7" t="s">
        <v>8549</v>
      </c>
      <c r="B2233" s="8" t="s">
        <v>8550</v>
      </c>
      <c r="C2233" s="8" t="s">
        <v>993</v>
      </c>
      <c r="D2233" s="8" t="str">
        <f>"9783839456354"</f>
        <v>9783839456354</v>
      </c>
    </row>
    <row r="2234" spans="1:4" x14ac:dyDescent="0.25">
      <c r="A2234" s="7" t="s">
        <v>10101</v>
      </c>
      <c r="B2234" s="8" t="s">
        <v>10102</v>
      </c>
      <c r="C2234" s="8" t="s">
        <v>993</v>
      </c>
      <c r="D2234" s="8" t="str">
        <f>"9783839433775"</f>
        <v>9783839433775</v>
      </c>
    </row>
    <row r="2235" spans="1:4" x14ac:dyDescent="0.25">
      <c r="A2235" s="7" t="s">
        <v>3832</v>
      </c>
      <c r="B2235" s="8" t="s">
        <v>3833</v>
      </c>
      <c r="C2235" s="8" t="s">
        <v>355</v>
      </c>
      <c r="D2235" s="8" t="str">
        <f>"9783110466850"</f>
        <v>9783110466850</v>
      </c>
    </row>
    <row r="2236" spans="1:4" ht="30" x14ac:dyDescent="0.25">
      <c r="A2236" s="7" t="s">
        <v>8079</v>
      </c>
      <c r="B2236" s="8" t="s">
        <v>8080</v>
      </c>
      <c r="C2236" s="8" t="s">
        <v>993</v>
      </c>
      <c r="D2236" s="8" t="str">
        <f>"9783839456149"</f>
        <v>9783839456149</v>
      </c>
    </row>
    <row r="2237" spans="1:4" x14ac:dyDescent="0.25">
      <c r="A2237" s="7" t="s">
        <v>1531</v>
      </c>
      <c r="B2237" s="8" t="s">
        <v>1532</v>
      </c>
      <c r="C2237" s="8" t="s">
        <v>1345</v>
      </c>
      <c r="D2237" s="8" t="str">
        <f>"9783862196159"</f>
        <v>9783862196159</v>
      </c>
    </row>
    <row r="2238" spans="1:4" x14ac:dyDescent="0.25">
      <c r="A2238" s="7" t="s">
        <v>6484</v>
      </c>
      <c r="B2238" s="8" t="s">
        <v>5918</v>
      </c>
      <c r="C2238" s="8" t="s">
        <v>5086</v>
      </c>
      <c r="D2238" s="8" t="str">
        <f>"9783658317355"</f>
        <v>9783658317355</v>
      </c>
    </row>
    <row r="2239" spans="1:4" ht="45" x14ac:dyDescent="0.25">
      <c r="A2239" s="7" t="s">
        <v>13317</v>
      </c>
      <c r="B2239" s="8" t="s">
        <v>13316</v>
      </c>
      <c r="C2239" s="8" t="s">
        <v>12712</v>
      </c>
      <c r="D2239" s="8" t="str">
        <f>"9783428574735"</f>
        <v>9783428574735</v>
      </c>
    </row>
    <row r="2240" spans="1:4" ht="30" x14ac:dyDescent="0.25">
      <c r="A2240" s="7" t="s">
        <v>13315</v>
      </c>
      <c r="B2240" s="8" t="s">
        <v>13316</v>
      </c>
      <c r="C2240" s="8" t="s">
        <v>12712</v>
      </c>
      <c r="D2240" s="8" t="str">
        <f>"9783428574711"</f>
        <v>9783428574711</v>
      </c>
    </row>
    <row r="2241" spans="1:4" ht="30" x14ac:dyDescent="0.25">
      <c r="A2241" s="7" t="s">
        <v>13318</v>
      </c>
      <c r="B2241" s="8" t="s">
        <v>13316</v>
      </c>
      <c r="C2241" s="8" t="s">
        <v>12712</v>
      </c>
      <c r="D2241" s="8" t="str">
        <f>"9783428574728"</f>
        <v>9783428574728</v>
      </c>
    </row>
    <row r="2242" spans="1:4" ht="60" x14ac:dyDescent="0.25">
      <c r="A2242" s="7" t="s">
        <v>13189</v>
      </c>
      <c r="B2242" s="8" t="s">
        <v>13190</v>
      </c>
      <c r="C2242" s="8" t="s">
        <v>12712</v>
      </c>
      <c r="D2242" s="8" t="str">
        <f>"9783428573509"</f>
        <v>9783428573509</v>
      </c>
    </row>
    <row r="2243" spans="1:4" ht="45" x14ac:dyDescent="0.25">
      <c r="A2243" s="7" t="s">
        <v>12769</v>
      </c>
      <c r="B2243" s="8" t="s">
        <v>193</v>
      </c>
      <c r="C2243" s="8" t="s">
        <v>12712</v>
      </c>
      <c r="D2243" s="8" t="str">
        <f>"9783428417179"</f>
        <v>9783428417179</v>
      </c>
    </row>
    <row r="2244" spans="1:4" ht="45" x14ac:dyDescent="0.25">
      <c r="A2244" s="7" t="s">
        <v>12770</v>
      </c>
      <c r="B2244" s="8" t="s">
        <v>193</v>
      </c>
      <c r="C2244" s="8" t="s">
        <v>12712</v>
      </c>
      <c r="D2244" s="8" t="str">
        <f>"9783428417186"</f>
        <v>9783428417186</v>
      </c>
    </row>
    <row r="2245" spans="1:4" ht="45" x14ac:dyDescent="0.25">
      <c r="A2245" s="7" t="s">
        <v>13108</v>
      </c>
      <c r="B2245" s="8" t="s">
        <v>13072</v>
      </c>
      <c r="C2245" s="8" t="s">
        <v>12712</v>
      </c>
      <c r="D2245" s="8" t="str">
        <f>"9783428572779"</f>
        <v>9783428572779</v>
      </c>
    </row>
    <row r="2246" spans="1:4" ht="45" x14ac:dyDescent="0.25">
      <c r="A2246" s="7" t="s">
        <v>13109</v>
      </c>
      <c r="B2246" s="8" t="s">
        <v>13072</v>
      </c>
      <c r="C2246" s="8" t="s">
        <v>12712</v>
      </c>
      <c r="D2246" s="8" t="str">
        <f>"9783428572786"</f>
        <v>9783428572786</v>
      </c>
    </row>
    <row r="2247" spans="1:4" ht="75" x14ac:dyDescent="0.25">
      <c r="A2247" s="7" t="s">
        <v>13328</v>
      </c>
      <c r="B2247" s="8" t="s">
        <v>13072</v>
      </c>
      <c r="C2247" s="8" t="s">
        <v>12712</v>
      </c>
      <c r="D2247" s="8" t="str">
        <f>"9783428574858"</f>
        <v>9783428574858</v>
      </c>
    </row>
    <row r="2248" spans="1:4" ht="30" x14ac:dyDescent="0.25">
      <c r="A2248" s="7" t="s">
        <v>13762</v>
      </c>
      <c r="B2248" s="8" t="s">
        <v>13763</v>
      </c>
      <c r="C2248" s="8" t="s">
        <v>5134</v>
      </c>
      <c r="D2248" s="8" t="str">
        <f>"9783662661314"</f>
        <v>9783662661314</v>
      </c>
    </row>
    <row r="2249" spans="1:4" ht="30" x14ac:dyDescent="0.25">
      <c r="A2249" s="7" t="s">
        <v>14285</v>
      </c>
      <c r="B2249" s="8" t="s">
        <v>13763</v>
      </c>
      <c r="C2249" s="8" t="s">
        <v>5134</v>
      </c>
      <c r="D2249" s="8" t="str">
        <f>"9783662661338"</f>
        <v>9783662661338</v>
      </c>
    </row>
    <row r="2250" spans="1:4" ht="30" x14ac:dyDescent="0.25">
      <c r="A2250" s="7" t="s">
        <v>10880</v>
      </c>
      <c r="B2250" s="8" t="s">
        <v>1458</v>
      </c>
      <c r="C2250" s="8" t="s">
        <v>5086</v>
      </c>
      <c r="D2250" s="8" t="str">
        <f>"9783658352639"</f>
        <v>9783658352639</v>
      </c>
    </row>
    <row r="2251" spans="1:4" ht="30" x14ac:dyDescent="0.25">
      <c r="A2251" s="7" t="s">
        <v>6924</v>
      </c>
      <c r="B2251" s="8" t="s">
        <v>6925</v>
      </c>
      <c r="C2251" s="8" t="s">
        <v>5942</v>
      </c>
      <c r="D2251" s="8" t="str">
        <f>"9783662630174"</f>
        <v>9783662630174</v>
      </c>
    </row>
    <row r="2252" spans="1:4" x14ac:dyDescent="0.25">
      <c r="A2252" s="7" t="s">
        <v>11661</v>
      </c>
      <c r="B2252" s="8" t="s">
        <v>11662</v>
      </c>
      <c r="C2252" s="8" t="s">
        <v>355</v>
      </c>
      <c r="D2252" s="8" t="str">
        <f>"9783486777451"</f>
        <v>9783486777451</v>
      </c>
    </row>
    <row r="2253" spans="1:4" ht="45" x14ac:dyDescent="0.25">
      <c r="A2253" s="7" t="s">
        <v>15023</v>
      </c>
      <c r="B2253" s="8" t="s">
        <v>15024</v>
      </c>
      <c r="C2253" s="8" t="s">
        <v>1865</v>
      </c>
      <c r="D2253" s="8" t="str">
        <f>"9789180750325"</f>
        <v>9789180750325</v>
      </c>
    </row>
    <row r="2254" spans="1:4" x14ac:dyDescent="0.25">
      <c r="A2254" s="7" t="s">
        <v>7878</v>
      </c>
      <c r="B2254" s="8" t="s">
        <v>7879</v>
      </c>
      <c r="C2254" s="8" t="s">
        <v>1865</v>
      </c>
      <c r="D2254" s="8" t="str">
        <f>"9789179296100"</f>
        <v>9789179296100</v>
      </c>
    </row>
    <row r="2255" spans="1:4" x14ac:dyDescent="0.25">
      <c r="A2255" s="7" t="s">
        <v>11169</v>
      </c>
      <c r="B2255" s="8" t="s">
        <v>11170</v>
      </c>
      <c r="C2255" s="8" t="s">
        <v>355</v>
      </c>
      <c r="D2255" s="8" t="str">
        <f>"9783110716207"</f>
        <v>9783110716207</v>
      </c>
    </row>
    <row r="2256" spans="1:4" x14ac:dyDescent="0.25">
      <c r="A2256" s="7" t="s">
        <v>9920</v>
      </c>
      <c r="B2256" s="8" t="s">
        <v>9921</v>
      </c>
      <c r="C2256" s="8" t="s">
        <v>993</v>
      </c>
      <c r="D2256" s="8" t="str">
        <f>"9783839408124"</f>
        <v>9783839408124</v>
      </c>
    </row>
    <row r="2257" spans="1:4" ht="30" x14ac:dyDescent="0.25">
      <c r="A2257" s="7" t="s">
        <v>12324</v>
      </c>
      <c r="B2257" s="8" t="s">
        <v>12325</v>
      </c>
      <c r="C2257" s="8" t="s">
        <v>993</v>
      </c>
      <c r="D2257" s="8" t="str">
        <f>"9783839461310"</f>
        <v>9783839461310</v>
      </c>
    </row>
    <row r="2258" spans="1:4" x14ac:dyDescent="0.25">
      <c r="A2258" s="7" t="s">
        <v>2964</v>
      </c>
      <c r="B2258" s="8" t="s">
        <v>2965</v>
      </c>
      <c r="C2258" s="8" t="s">
        <v>1962</v>
      </c>
      <c r="D2258" s="8" t="str">
        <f>"9782759225958"</f>
        <v>9782759225958</v>
      </c>
    </row>
    <row r="2259" spans="1:4" x14ac:dyDescent="0.25">
      <c r="A2259" s="7" t="s">
        <v>15041</v>
      </c>
      <c r="B2259" s="8" t="s">
        <v>15042</v>
      </c>
      <c r="C2259" s="8" t="s">
        <v>1865</v>
      </c>
      <c r="D2259" s="8" t="str">
        <f>"9789175196978"</f>
        <v>9789175196978</v>
      </c>
    </row>
    <row r="2260" spans="1:4" ht="30" x14ac:dyDescent="0.25">
      <c r="A2260" s="7" t="s">
        <v>13566</v>
      </c>
      <c r="B2260" s="8" t="s">
        <v>13567</v>
      </c>
      <c r="C2260" s="8" t="s">
        <v>2273</v>
      </c>
      <c r="D2260" s="8" t="str">
        <f>"9783031154577"</f>
        <v>9783031154577</v>
      </c>
    </row>
    <row r="2261" spans="1:4" x14ac:dyDescent="0.25">
      <c r="A2261" s="7" t="s">
        <v>6570</v>
      </c>
      <c r="B2261" s="8" t="s">
        <v>6057</v>
      </c>
      <c r="C2261" s="8" t="s">
        <v>5086</v>
      </c>
      <c r="D2261" s="8" t="str">
        <f>"9783658323233"</f>
        <v>9783658323233</v>
      </c>
    </row>
    <row r="2262" spans="1:4" x14ac:dyDescent="0.25">
      <c r="A2262" s="7" t="s">
        <v>10531</v>
      </c>
      <c r="B2262" s="8" t="s">
        <v>8342</v>
      </c>
      <c r="C2262" s="8" t="s">
        <v>993</v>
      </c>
      <c r="D2262" s="8" t="str">
        <f>"9783839458938"</f>
        <v>9783839458938</v>
      </c>
    </row>
    <row r="2263" spans="1:4" x14ac:dyDescent="0.25">
      <c r="A2263" s="7" t="s">
        <v>7108</v>
      </c>
      <c r="B2263" s="8" t="s">
        <v>7109</v>
      </c>
      <c r="C2263" s="8" t="s">
        <v>355</v>
      </c>
      <c r="D2263" s="8" t="str">
        <f>"9783110599572"</f>
        <v>9783110599572</v>
      </c>
    </row>
    <row r="2264" spans="1:4" x14ac:dyDescent="0.25">
      <c r="A2264" s="7" t="s">
        <v>10782</v>
      </c>
      <c r="B2264" s="8" t="s">
        <v>10783</v>
      </c>
      <c r="C2264" s="8" t="s">
        <v>1876</v>
      </c>
      <c r="D2264" s="8" t="str">
        <f>"9781922235879"</f>
        <v>9781922235879</v>
      </c>
    </row>
    <row r="2265" spans="1:4" x14ac:dyDescent="0.25">
      <c r="A2265" s="7" t="s">
        <v>5536</v>
      </c>
      <c r="B2265" s="8" t="s">
        <v>5537</v>
      </c>
      <c r="C2265" s="8" t="s">
        <v>2273</v>
      </c>
      <c r="D2265" s="8" t="str">
        <f>"9783030539146"</f>
        <v>9783030539146</v>
      </c>
    </row>
    <row r="2266" spans="1:4" x14ac:dyDescent="0.25">
      <c r="A2266" s="7" t="s">
        <v>10107</v>
      </c>
      <c r="B2266" s="8" t="s">
        <v>10108</v>
      </c>
      <c r="C2266" s="8" t="s">
        <v>993</v>
      </c>
      <c r="D2266" s="8" t="str">
        <f>"9783839434970"</f>
        <v>9783839434970</v>
      </c>
    </row>
    <row r="2267" spans="1:4" x14ac:dyDescent="0.25">
      <c r="A2267" s="7" t="s">
        <v>12013</v>
      </c>
      <c r="B2267" s="8" t="s">
        <v>12014</v>
      </c>
      <c r="C2267" s="8" t="s">
        <v>355</v>
      </c>
      <c r="D2267" s="8" t="str">
        <f>"9783110749472"</f>
        <v>9783110749472</v>
      </c>
    </row>
    <row r="2268" spans="1:4" x14ac:dyDescent="0.25">
      <c r="A2268" s="7" t="s">
        <v>12556</v>
      </c>
      <c r="B2268" s="8" t="s">
        <v>12557</v>
      </c>
      <c r="C2268" s="8" t="s">
        <v>2273</v>
      </c>
      <c r="D2268" s="8" t="str">
        <f>"9783031051609"</f>
        <v>9783031051609</v>
      </c>
    </row>
    <row r="2269" spans="1:4" x14ac:dyDescent="0.25">
      <c r="A2269" s="7" t="s">
        <v>13676</v>
      </c>
      <c r="B2269" s="8" t="s">
        <v>13677</v>
      </c>
      <c r="C2269" s="8" t="s">
        <v>2785</v>
      </c>
      <c r="D2269" s="8" t="str">
        <f>"9789811691782"</f>
        <v>9789811691782</v>
      </c>
    </row>
    <row r="2270" spans="1:4" x14ac:dyDescent="0.25">
      <c r="A2270" s="7" t="s">
        <v>12600</v>
      </c>
      <c r="B2270" s="8" t="s">
        <v>12601</v>
      </c>
      <c r="C2270" s="8" t="s">
        <v>355</v>
      </c>
      <c r="D2270" s="8" t="str">
        <f>"9783110757101"</f>
        <v>9783110757101</v>
      </c>
    </row>
    <row r="2271" spans="1:4" x14ac:dyDescent="0.25">
      <c r="A2271" s="7" t="s">
        <v>12015</v>
      </c>
      <c r="B2271" s="8" t="s">
        <v>12016</v>
      </c>
      <c r="C2271" s="8" t="s">
        <v>355</v>
      </c>
      <c r="D2271" s="8" t="str">
        <f>"9783110723991"</f>
        <v>9783110723991</v>
      </c>
    </row>
    <row r="2272" spans="1:4" ht="30" x14ac:dyDescent="0.25">
      <c r="A2272" s="7" t="s">
        <v>12688</v>
      </c>
      <c r="B2272" s="8" t="s">
        <v>7262</v>
      </c>
      <c r="C2272" s="8" t="s">
        <v>2273</v>
      </c>
      <c r="D2272" s="8" t="str">
        <f>"9783031124822"</f>
        <v>9783031124822</v>
      </c>
    </row>
    <row r="2273" spans="1:4" x14ac:dyDescent="0.25">
      <c r="A2273" s="7" t="s">
        <v>12020</v>
      </c>
      <c r="B2273" s="8" t="s">
        <v>12021</v>
      </c>
      <c r="C2273" s="8" t="s">
        <v>355</v>
      </c>
      <c r="D2273" s="8" t="str">
        <f>"9783110536539"</f>
        <v>9783110536539</v>
      </c>
    </row>
    <row r="2274" spans="1:4" x14ac:dyDescent="0.25">
      <c r="A2274" s="7" t="s">
        <v>1890</v>
      </c>
      <c r="B2274" s="8" t="s">
        <v>1891</v>
      </c>
      <c r="C2274" s="8" t="s">
        <v>1879</v>
      </c>
      <c r="D2274" s="8" t="str">
        <f>"9781909254275"</f>
        <v>9781909254275</v>
      </c>
    </row>
    <row r="2275" spans="1:4" x14ac:dyDescent="0.25">
      <c r="A2275" s="7" t="s">
        <v>8313</v>
      </c>
      <c r="B2275" s="8" t="s">
        <v>8314</v>
      </c>
      <c r="C2275" s="8" t="s">
        <v>993</v>
      </c>
      <c r="D2275" s="8" t="str">
        <f>"9783839439029"</f>
        <v>9783839439029</v>
      </c>
    </row>
    <row r="2276" spans="1:4" ht="30" x14ac:dyDescent="0.25">
      <c r="A2276" s="7" t="s">
        <v>12473</v>
      </c>
      <c r="B2276" s="8" t="s">
        <v>12474</v>
      </c>
      <c r="C2276" s="8" t="s">
        <v>2273</v>
      </c>
      <c r="D2276" s="8" t="str">
        <f>"9783031114328"</f>
        <v>9783031114328</v>
      </c>
    </row>
    <row r="2277" spans="1:4" x14ac:dyDescent="0.25">
      <c r="A2277" s="7" t="s">
        <v>2872</v>
      </c>
      <c r="B2277" s="8" t="s">
        <v>2873</v>
      </c>
      <c r="C2277" s="8" t="s">
        <v>1865</v>
      </c>
      <c r="D2277" s="8" t="str">
        <f>"9789176857182"</f>
        <v>9789176857182</v>
      </c>
    </row>
    <row r="2278" spans="1:4" x14ac:dyDescent="0.25">
      <c r="A2278" s="7" t="s">
        <v>7464</v>
      </c>
      <c r="B2278" s="8" t="s">
        <v>7465</v>
      </c>
      <c r="C2278" s="8" t="s">
        <v>993</v>
      </c>
      <c r="D2278" s="8" t="str">
        <f>"9783839440919"</f>
        <v>9783839440919</v>
      </c>
    </row>
    <row r="2279" spans="1:4" x14ac:dyDescent="0.25">
      <c r="A2279" s="7" t="s">
        <v>10382</v>
      </c>
      <c r="B2279" s="8" t="s">
        <v>10383</v>
      </c>
      <c r="C2279" s="8" t="s">
        <v>993</v>
      </c>
      <c r="D2279" s="8" t="str">
        <f>"9783839454190"</f>
        <v>9783839454190</v>
      </c>
    </row>
    <row r="2280" spans="1:4" x14ac:dyDescent="0.25">
      <c r="A2280" s="7" t="s">
        <v>3881</v>
      </c>
      <c r="B2280" s="8" t="s">
        <v>3882</v>
      </c>
      <c r="C2280" s="8" t="s">
        <v>355</v>
      </c>
      <c r="D2280" s="8" t="str">
        <f>"9783110547474"</f>
        <v>9783110547474</v>
      </c>
    </row>
    <row r="2281" spans="1:4" x14ac:dyDescent="0.25">
      <c r="A2281" s="7" t="s">
        <v>4033</v>
      </c>
      <c r="B2281" s="8" t="s">
        <v>3882</v>
      </c>
      <c r="C2281" s="8" t="s">
        <v>355</v>
      </c>
      <c r="D2281" s="8" t="str">
        <f>"9783110547450"</f>
        <v>9783110547450</v>
      </c>
    </row>
    <row r="2282" spans="1:4" x14ac:dyDescent="0.25">
      <c r="A2282" s="7" t="s">
        <v>2184</v>
      </c>
      <c r="B2282" s="8" t="s">
        <v>2185</v>
      </c>
      <c r="C2282" s="8" t="s">
        <v>329</v>
      </c>
      <c r="D2282" s="8" t="str">
        <f>"9789048523047"</f>
        <v>9789048523047</v>
      </c>
    </row>
    <row r="2283" spans="1:4" x14ac:dyDescent="0.25">
      <c r="A2283" s="7" t="s">
        <v>11032</v>
      </c>
      <c r="B2283" s="8" t="s">
        <v>11033</v>
      </c>
      <c r="C2283" s="8" t="s">
        <v>2273</v>
      </c>
      <c r="D2283" s="8" t="str">
        <f>"9783030952204"</f>
        <v>9783030952204</v>
      </c>
    </row>
    <row r="2284" spans="1:4" x14ac:dyDescent="0.25">
      <c r="A2284" s="7" t="s">
        <v>11183</v>
      </c>
      <c r="B2284" s="8" t="s">
        <v>11184</v>
      </c>
      <c r="C2284" s="8" t="s">
        <v>355</v>
      </c>
      <c r="D2284" s="8" t="str">
        <f>"9783110740202"</f>
        <v>9783110740202</v>
      </c>
    </row>
    <row r="2285" spans="1:4" x14ac:dyDescent="0.25">
      <c r="A2285" s="7" t="s">
        <v>2754</v>
      </c>
      <c r="B2285" s="8" t="s">
        <v>2755</v>
      </c>
      <c r="C2285" s="8" t="s">
        <v>1879</v>
      </c>
      <c r="D2285" s="8" t="str">
        <f>"9781783742400"</f>
        <v>9781783742400</v>
      </c>
    </row>
    <row r="2286" spans="1:4" x14ac:dyDescent="0.25">
      <c r="A2286" s="7" t="s">
        <v>6587</v>
      </c>
      <c r="B2286" s="8" t="s">
        <v>6588</v>
      </c>
      <c r="C2286" s="8" t="s">
        <v>1865</v>
      </c>
      <c r="D2286" s="8" t="str">
        <f>"9789179296780"</f>
        <v>9789179296780</v>
      </c>
    </row>
    <row r="2287" spans="1:4" x14ac:dyDescent="0.25">
      <c r="A2287" s="7" t="s">
        <v>4095</v>
      </c>
      <c r="B2287" s="8" t="s">
        <v>4096</v>
      </c>
      <c r="C2287" s="8" t="s">
        <v>562</v>
      </c>
      <c r="D2287" s="8" t="str">
        <f>"9780822371991"</f>
        <v>9780822371991</v>
      </c>
    </row>
    <row r="2288" spans="1:4" ht="30" x14ac:dyDescent="0.25">
      <c r="A2288" s="7" t="s">
        <v>7378</v>
      </c>
      <c r="B2288" s="8" t="s">
        <v>7379</v>
      </c>
      <c r="C2288" s="8" t="s">
        <v>1865</v>
      </c>
      <c r="D2288" s="8" t="str">
        <f>"9789179296346"</f>
        <v>9789179296346</v>
      </c>
    </row>
    <row r="2289" spans="1:4" x14ac:dyDescent="0.25">
      <c r="A2289" s="7" t="s">
        <v>4331</v>
      </c>
      <c r="B2289" s="8" t="s">
        <v>4333</v>
      </c>
      <c r="C2289" s="8" t="s">
        <v>4332</v>
      </c>
      <c r="D2289" s="8" t="str">
        <f>"9781942401353"</f>
        <v>9781942401353</v>
      </c>
    </row>
    <row r="2290" spans="1:4" x14ac:dyDescent="0.25">
      <c r="A2290" s="7" t="s">
        <v>4865</v>
      </c>
      <c r="B2290" s="8" t="s">
        <v>4866</v>
      </c>
      <c r="C2290" s="8" t="s">
        <v>1879</v>
      </c>
      <c r="D2290" s="8" t="str">
        <f>"9781783748419"</f>
        <v>9781783748419</v>
      </c>
    </row>
    <row r="2291" spans="1:4" x14ac:dyDescent="0.25">
      <c r="A2291" s="7" t="s">
        <v>10013</v>
      </c>
      <c r="B2291" s="8" t="s">
        <v>10014</v>
      </c>
      <c r="C2291" s="8" t="s">
        <v>993</v>
      </c>
      <c r="D2291" s="8" t="str">
        <f>"9783839410233"</f>
        <v>9783839410233</v>
      </c>
    </row>
    <row r="2292" spans="1:4" ht="30" x14ac:dyDescent="0.25">
      <c r="A2292" s="7" t="s">
        <v>14638</v>
      </c>
      <c r="B2292" s="8" t="s">
        <v>14639</v>
      </c>
      <c r="C2292" s="8" t="s">
        <v>1865</v>
      </c>
      <c r="D2292" s="8" t="str">
        <f>"9789179296124"</f>
        <v>9789179296124</v>
      </c>
    </row>
    <row r="2293" spans="1:4" x14ac:dyDescent="0.25">
      <c r="A2293" s="7" t="s">
        <v>12201</v>
      </c>
      <c r="B2293" s="8" t="s">
        <v>12202</v>
      </c>
      <c r="C2293" s="8" t="s">
        <v>2273</v>
      </c>
      <c r="D2293" s="8" t="str">
        <f>"9783031052767"</f>
        <v>9783031052767</v>
      </c>
    </row>
    <row r="2294" spans="1:4" x14ac:dyDescent="0.25">
      <c r="A2294" s="7" t="s">
        <v>6378</v>
      </c>
      <c r="B2294" s="8" t="s">
        <v>182</v>
      </c>
      <c r="C2294" s="8" t="s">
        <v>2273</v>
      </c>
      <c r="D2294" s="8" t="str">
        <f>"9783030558789"</f>
        <v>9783030558789</v>
      </c>
    </row>
    <row r="2295" spans="1:4" x14ac:dyDescent="0.25">
      <c r="A2295" s="7" t="s">
        <v>14693</v>
      </c>
      <c r="B2295" s="8" t="s">
        <v>14694</v>
      </c>
      <c r="C2295" s="8" t="s">
        <v>1865</v>
      </c>
      <c r="D2295" s="8" t="str">
        <f>"9789179292157"</f>
        <v>9789179292157</v>
      </c>
    </row>
    <row r="2296" spans="1:4" ht="30" x14ac:dyDescent="0.25">
      <c r="A2296" s="7" t="s">
        <v>5718</v>
      </c>
      <c r="B2296" s="8" t="s">
        <v>5719</v>
      </c>
      <c r="C2296" s="8" t="s">
        <v>5484</v>
      </c>
      <c r="D2296" s="8" t="str">
        <f>"9781430267133"</f>
        <v>9781430267133</v>
      </c>
    </row>
    <row r="2297" spans="1:4" x14ac:dyDescent="0.25">
      <c r="A2297" s="7" t="s">
        <v>10078</v>
      </c>
      <c r="B2297" s="8" t="s">
        <v>10079</v>
      </c>
      <c r="C2297" s="8" t="s">
        <v>993</v>
      </c>
      <c r="D2297" s="8" t="str">
        <f>"9783839430286"</f>
        <v>9783839430286</v>
      </c>
    </row>
    <row r="2298" spans="1:4" ht="30" x14ac:dyDescent="0.25">
      <c r="A2298" s="7" t="s">
        <v>10532</v>
      </c>
      <c r="B2298" s="8" t="s">
        <v>10533</v>
      </c>
      <c r="C2298" s="8" t="s">
        <v>993</v>
      </c>
      <c r="D2298" s="8" t="str">
        <f>"9783839459058"</f>
        <v>9783839459058</v>
      </c>
    </row>
    <row r="2299" spans="1:4" x14ac:dyDescent="0.25">
      <c r="A2299" s="7" t="s">
        <v>14330</v>
      </c>
      <c r="B2299" s="8" t="s">
        <v>14331</v>
      </c>
      <c r="C2299" s="8" t="s">
        <v>5942</v>
      </c>
      <c r="D2299" s="8" t="str">
        <f>"9783476058867"</f>
        <v>9783476058867</v>
      </c>
    </row>
    <row r="2300" spans="1:4" x14ac:dyDescent="0.25">
      <c r="A2300" s="7" t="s">
        <v>10491</v>
      </c>
      <c r="B2300" s="8" t="s">
        <v>10492</v>
      </c>
      <c r="C2300" s="8" t="s">
        <v>993</v>
      </c>
      <c r="D2300" s="8" t="str">
        <f>"9783839457962"</f>
        <v>9783839457962</v>
      </c>
    </row>
    <row r="2301" spans="1:4" x14ac:dyDescent="0.25">
      <c r="A2301" s="7" t="s">
        <v>9240</v>
      </c>
      <c r="B2301" s="8" t="s">
        <v>9241</v>
      </c>
      <c r="C2301" s="8" t="s">
        <v>5086</v>
      </c>
      <c r="D2301" s="8" t="str">
        <f>"9783658361679"</f>
        <v>9783658361679</v>
      </c>
    </row>
    <row r="2302" spans="1:4" x14ac:dyDescent="0.25">
      <c r="A2302" s="7" t="s">
        <v>5991</v>
      </c>
      <c r="B2302" s="8" t="s">
        <v>5592</v>
      </c>
      <c r="C2302" s="8" t="s">
        <v>5134</v>
      </c>
      <c r="D2302" s="8" t="str">
        <f>"9783662557969"</f>
        <v>9783662557969</v>
      </c>
    </row>
    <row r="2303" spans="1:4" x14ac:dyDescent="0.25">
      <c r="A2303" s="7" t="s">
        <v>5996</v>
      </c>
      <c r="B2303" s="8" t="s">
        <v>5997</v>
      </c>
      <c r="C2303" s="8" t="s">
        <v>5086</v>
      </c>
      <c r="D2303" s="8" t="str">
        <f>"9783658226244"</f>
        <v>9783658226244</v>
      </c>
    </row>
    <row r="2304" spans="1:4" x14ac:dyDescent="0.25">
      <c r="A2304" s="7" t="s">
        <v>5996</v>
      </c>
      <c r="B2304" s="8" t="s">
        <v>5997</v>
      </c>
      <c r="C2304" s="8" t="s">
        <v>5086</v>
      </c>
      <c r="D2304" s="8" t="str">
        <f>"9783658375713"</f>
        <v>9783658375713</v>
      </c>
    </row>
    <row r="2305" spans="1:4" ht="30" x14ac:dyDescent="0.25">
      <c r="A2305" s="7" t="s">
        <v>6056</v>
      </c>
      <c r="B2305" s="8" t="s">
        <v>6057</v>
      </c>
      <c r="C2305" s="8" t="s">
        <v>5086</v>
      </c>
      <c r="D2305" s="8" t="str">
        <f>"9783658269609"</f>
        <v>9783658269609</v>
      </c>
    </row>
    <row r="2306" spans="1:4" ht="30" x14ac:dyDescent="0.25">
      <c r="A2306" s="7" t="s">
        <v>9986</v>
      </c>
      <c r="B2306" s="8" t="s">
        <v>9987</v>
      </c>
      <c r="C2306" s="8" t="s">
        <v>993</v>
      </c>
      <c r="D2306" s="8" t="str">
        <f>"9783839409435"</f>
        <v>9783839409435</v>
      </c>
    </row>
    <row r="2307" spans="1:4" x14ac:dyDescent="0.25">
      <c r="A2307" s="7" t="s">
        <v>2432</v>
      </c>
      <c r="B2307" s="8" t="s">
        <v>2433</v>
      </c>
      <c r="C2307" s="8" t="s">
        <v>1865</v>
      </c>
      <c r="D2307" s="8" t="str">
        <f>"9789176859261"</f>
        <v>9789176859261</v>
      </c>
    </row>
    <row r="2308" spans="1:4" x14ac:dyDescent="0.25">
      <c r="A2308" s="7" t="s">
        <v>6248</v>
      </c>
      <c r="B2308" s="8" t="s">
        <v>5592</v>
      </c>
      <c r="C2308" s="8" t="s">
        <v>5134</v>
      </c>
      <c r="D2308" s="8" t="str">
        <f>"9783662528549"</f>
        <v>9783662528549</v>
      </c>
    </row>
    <row r="2309" spans="1:4" x14ac:dyDescent="0.25">
      <c r="A2309" s="7" t="s">
        <v>8341</v>
      </c>
      <c r="B2309" s="8" t="s">
        <v>8342</v>
      </c>
      <c r="C2309" s="8" t="s">
        <v>993</v>
      </c>
      <c r="D2309" s="8" t="str">
        <f>"9783839454220"</f>
        <v>9783839454220</v>
      </c>
    </row>
    <row r="2310" spans="1:4" x14ac:dyDescent="0.25">
      <c r="A2310" s="7" t="s">
        <v>10486</v>
      </c>
      <c r="B2310" s="8" t="s">
        <v>10221</v>
      </c>
      <c r="C2310" s="8" t="s">
        <v>993</v>
      </c>
      <c r="D2310" s="8" t="str">
        <f>"9783839457900"</f>
        <v>9783839457900</v>
      </c>
    </row>
    <row r="2311" spans="1:4" ht="30" x14ac:dyDescent="0.25">
      <c r="A2311" s="7" t="s">
        <v>8619</v>
      </c>
      <c r="B2311" s="8" t="s">
        <v>8620</v>
      </c>
      <c r="C2311" s="8" t="s">
        <v>5086</v>
      </c>
      <c r="D2311" s="8" t="str">
        <f>"9783658328498"</f>
        <v>9783658328498</v>
      </c>
    </row>
    <row r="2312" spans="1:4" x14ac:dyDescent="0.25">
      <c r="A2312" s="7" t="s">
        <v>5514</v>
      </c>
      <c r="B2312" s="8" t="s">
        <v>5515</v>
      </c>
      <c r="C2312" s="8" t="s">
        <v>5134</v>
      </c>
      <c r="D2312" s="8" t="str">
        <f>"9783662623770"</f>
        <v>9783662623770</v>
      </c>
    </row>
    <row r="2313" spans="1:4" ht="30" x14ac:dyDescent="0.25">
      <c r="A2313" s="7" t="s">
        <v>8903</v>
      </c>
      <c r="B2313" s="8" t="s">
        <v>5515</v>
      </c>
      <c r="C2313" s="8" t="s">
        <v>5134</v>
      </c>
      <c r="D2313" s="8" t="str">
        <f>"9783662644089"</f>
        <v>9783662644089</v>
      </c>
    </row>
    <row r="2314" spans="1:4" x14ac:dyDescent="0.25">
      <c r="A2314" s="7" t="s">
        <v>7838</v>
      </c>
      <c r="B2314" s="8" t="s">
        <v>7839</v>
      </c>
      <c r="C2314" s="8" t="s">
        <v>1865</v>
      </c>
      <c r="D2314" s="8" t="str">
        <f>"9789179290252"</f>
        <v>9789179290252</v>
      </c>
    </row>
    <row r="2315" spans="1:4" x14ac:dyDescent="0.25">
      <c r="A2315" s="7" t="s">
        <v>10261</v>
      </c>
      <c r="B2315" s="8" t="s">
        <v>10262</v>
      </c>
      <c r="C2315" s="8" t="s">
        <v>993</v>
      </c>
      <c r="D2315" s="8" t="str">
        <f>"9783839446614"</f>
        <v>9783839446614</v>
      </c>
    </row>
    <row r="2316" spans="1:4" x14ac:dyDescent="0.25">
      <c r="A2316" s="7" t="s">
        <v>13760</v>
      </c>
      <c r="B2316" s="8" t="s">
        <v>13761</v>
      </c>
      <c r="C2316" s="8" t="s">
        <v>2273</v>
      </c>
      <c r="D2316" s="8" t="str">
        <f>"9783031167089"</f>
        <v>9783031167089</v>
      </c>
    </row>
    <row r="2317" spans="1:4" x14ac:dyDescent="0.25">
      <c r="A2317" s="7" t="s">
        <v>5346</v>
      </c>
      <c r="B2317" s="8" t="s">
        <v>197</v>
      </c>
      <c r="C2317" s="8" t="s">
        <v>2273</v>
      </c>
      <c r="D2317" s="8" t="str">
        <f>"9783319580203"</f>
        <v>9783319580203</v>
      </c>
    </row>
    <row r="2318" spans="1:4" ht="30" x14ac:dyDescent="0.25">
      <c r="A2318" s="7" t="s">
        <v>14027</v>
      </c>
      <c r="B2318" s="8" t="s">
        <v>14028</v>
      </c>
      <c r="C2318" s="8" t="s">
        <v>13997</v>
      </c>
      <c r="D2318" s="8" t="str">
        <f>"9789566095309"</f>
        <v>9789566095309</v>
      </c>
    </row>
    <row r="2319" spans="1:4" ht="30" x14ac:dyDescent="0.25">
      <c r="A2319" s="7" t="s">
        <v>9998</v>
      </c>
      <c r="B2319" s="8" t="s">
        <v>9664</v>
      </c>
      <c r="C2319" s="8" t="s">
        <v>993</v>
      </c>
      <c r="D2319" s="8" t="str">
        <f>"9783839409688"</f>
        <v>9783839409688</v>
      </c>
    </row>
    <row r="2320" spans="1:4" x14ac:dyDescent="0.25">
      <c r="A2320" s="7" t="s">
        <v>11747</v>
      </c>
      <c r="B2320" s="8" t="s">
        <v>11748</v>
      </c>
      <c r="C2320" s="8" t="s">
        <v>355</v>
      </c>
      <c r="D2320" s="8" t="str">
        <f>"9783110701364"</f>
        <v>9783110701364</v>
      </c>
    </row>
    <row r="2321" spans="1:4" ht="30" x14ac:dyDescent="0.25">
      <c r="A2321" s="7" t="s">
        <v>8685</v>
      </c>
      <c r="B2321" s="8" t="s">
        <v>8686</v>
      </c>
      <c r="C2321" s="8" t="s">
        <v>2273</v>
      </c>
      <c r="D2321" s="8" t="str">
        <f>"9783030858025"</f>
        <v>9783030858025</v>
      </c>
    </row>
    <row r="2322" spans="1:4" ht="30" x14ac:dyDescent="0.25">
      <c r="A2322" s="7" t="s">
        <v>10171</v>
      </c>
      <c r="B2322" s="8" t="s">
        <v>10172</v>
      </c>
      <c r="C2322" s="8" t="s">
        <v>993</v>
      </c>
      <c r="D2322" s="8" t="str">
        <f>"9783839442326"</f>
        <v>9783839442326</v>
      </c>
    </row>
    <row r="2323" spans="1:4" x14ac:dyDescent="0.25">
      <c r="A2323" s="7" t="s">
        <v>10220</v>
      </c>
      <c r="B2323" s="8" t="s">
        <v>10221</v>
      </c>
      <c r="C2323" s="8" t="s">
        <v>993</v>
      </c>
      <c r="D2323" s="8" t="str">
        <f>"9783839445136"</f>
        <v>9783839445136</v>
      </c>
    </row>
    <row r="2324" spans="1:4" ht="30" x14ac:dyDescent="0.25">
      <c r="A2324" s="7" t="s">
        <v>10126</v>
      </c>
      <c r="B2324" s="8" t="s">
        <v>10127</v>
      </c>
      <c r="C2324" s="8" t="s">
        <v>993</v>
      </c>
      <c r="D2324" s="8" t="str">
        <f>"9783839437018"</f>
        <v>9783839437018</v>
      </c>
    </row>
    <row r="2325" spans="1:4" x14ac:dyDescent="0.25">
      <c r="A2325" s="7" t="s">
        <v>970</v>
      </c>
      <c r="B2325" s="8" t="s">
        <v>971</v>
      </c>
      <c r="C2325" s="8" t="s">
        <v>697</v>
      </c>
      <c r="D2325" s="8" t="str">
        <f>"9789004270121"</f>
        <v>9789004270121</v>
      </c>
    </row>
    <row r="2326" spans="1:4" ht="30" x14ac:dyDescent="0.25">
      <c r="A2326" s="7" t="s">
        <v>836</v>
      </c>
      <c r="B2326" s="8" t="s">
        <v>837</v>
      </c>
      <c r="C2326" s="8" t="s">
        <v>355</v>
      </c>
      <c r="D2326" s="8" t="str">
        <f>"9783486859089"</f>
        <v>9783486859089</v>
      </c>
    </row>
    <row r="2327" spans="1:4" ht="30" x14ac:dyDescent="0.25">
      <c r="A2327" s="7" t="s">
        <v>4281</v>
      </c>
      <c r="B2327" s="8" t="s">
        <v>4282</v>
      </c>
      <c r="C2327" s="8" t="s">
        <v>1345</v>
      </c>
      <c r="D2327" s="8" t="str">
        <f>"9783737606011"</f>
        <v>9783737606011</v>
      </c>
    </row>
    <row r="2328" spans="1:4" ht="45" x14ac:dyDescent="0.25">
      <c r="A2328" s="7" t="s">
        <v>1613</v>
      </c>
      <c r="B2328" s="8" t="s">
        <v>1614</v>
      </c>
      <c r="C2328" s="8" t="s">
        <v>1345</v>
      </c>
      <c r="D2328" s="8" t="str">
        <f>"9783862190836"</f>
        <v>9783862190836</v>
      </c>
    </row>
    <row r="2329" spans="1:4" x14ac:dyDescent="0.25">
      <c r="A2329" s="7" t="s">
        <v>13725</v>
      </c>
      <c r="B2329" s="8" t="s">
        <v>13726</v>
      </c>
      <c r="C2329" s="8" t="s">
        <v>993</v>
      </c>
      <c r="D2329" s="8" t="str">
        <f>"9783839465042"</f>
        <v>9783839465042</v>
      </c>
    </row>
    <row r="2330" spans="1:4" x14ac:dyDescent="0.25">
      <c r="A2330" s="7" t="s">
        <v>9206</v>
      </c>
      <c r="B2330" s="8" t="s">
        <v>9207</v>
      </c>
      <c r="C2330" s="8" t="s">
        <v>4882</v>
      </c>
      <c r="D2330" s="8" t="str">
        <f>"9781781386415"</f>
        <v>9781781386415</v>
      </c>
    </row>
    <row r="2331" spans="1:4" x14ac:dyDescent="0.25">
      <c r="A2331" s="7" t="s">
        <v>5805</v>
      </c>
      <c r="B2331" s="8" t="s">
        <v>5806</v>
      </c>
      <c r="C2331" s="8" t="s">
        <v>2273</v>
      </c>
      <c r="D2331" s="8" t="str">
        <f>"9783319927220"</f>
        <v>9783319927220</v>
      </c>
    </row>
    <row r="2332" spans="1:4" x14ac:dyDescent="0.25">
      <c r="A2332" s="7" t="s">
        <v>2648</v>
      </c>
      <c r="B2332" s="8" t="s">
        <v>2649</v>
      </c>
      <c r="C2332" s="8" t="s">
        <v>562</v>
      </c>
      <c r="D2332" s="8" t="str">
        <f>"9780822374503"</f>
        <v>9780822374503</v>
      </c>
    </row>
    <row r="2333" spans="1:4" x14ac:dyDescent="0.25">
      <c r="A2333" s="7" t="s">
        <v>2363</v>
      </c>
      <c r="B2333" s="8" t="s">
        <v>2364</v>
      </c>
      <c r="C2333" s="8" t="s">
        <v>1345</v>
      </c>
      <c r="D2333" s="8" t="str">
        <f>"9783862198795"</f>
        <v>9783862198795</v>
      </c>
    </row>
    <row r="2334" spans="1:4" ht="30" x14ac:dyDescent="0.25">
      <c r="A2334" s="7" t="s">
        <v>15166</v>
      </c>
      <c r="B2334" s="8" t="s">
        <v>15167</v>
      </c>
      <c r="C2334" s="8" t="s">
        <v>1865</v>
      </c>
      <c r="D2334" s="8" t="str">
        <f>"9789175193441"</f>
        <v>9789175193441</v>
      </c>
    </row>
    <row r="2335" spans="1:4" x14ac:dyDescent="0.25">
      <c r="A2335" s="7" t="s">
        <v>4052</v>
      </c>
      <c r="B2335" s="8" t="s">
        <v>4053</v>
      </c>
      <c r="C2335" s="8" t="s">
        <v>1865</v>
      </c>
      <c r="D2335" s="8" t="str">
        <f>"9789176853153"</f>
        <v>9789176853153</v>
      </c>
    </row>
    <row r="2336" spans="1:4" x14ac:dyDescent="0.25">
      <c r="A2336" s="7" t="s">
        <v>7236</v>
      </c>
      <c r="B2336" s="8" t="s">
        <v>3785</v>
      </c>
      <c r="C2336" s="8" t="s">
        <v>316</v>
      </c>
      <c r="D2336" s="8" t="str">
        <f>"9783110527988"</f>
        <v>9783110527988</v>
      </c>
    </row>
    <row r="2337" spans="1:4" x14ac:dyDescent="0.25">
      <c r="A2337" s="7" t="s">
        <v>11512</v>
      </c>
      <c r="B2337" s="8" t="s">
        <v>11513</v>
      </c>
      <c r="C2337" s="8" t="s">
        <v>355</v>
      </c>
      <c r="D2337" s="8" t="str">
        <f>"9783110642018"</f>
        <v>9783110642018</v>
      </c>
    </row>
    <row r="2338" spans="1:4" x14ac:dyDescent="0.25">
      <c r="A2338" s="7" t="s">
        <v>5066</v>
      </c>
      <c r="B2338" s="8" t="s">
        <v>5067</v>
      </c>
      <c r="C2338" s="8" t="s">
        <v>1879</v>
      </c>
      <c r="D2338" s="8" t="str">
        <f>"9781783748532"</f>
        <v>9781783748532</v>
      </c>
    </row>
    <row r="2339" spans="1:4" x14ac:dyDescent="0.25">
      <c r="A2339" s="7" t="s">
        <v>16094</v>
      </c>
      <c r="B2339" s="8" t="s">
        <v>16095</v>
      </c>
      <c r="C2339" s="8" t="s">
        <v>1865</v>
      </c>
      <c r="D2339" s="8" t="str">
        <f>"9789176850664"</f>
        <v>9789176850664</v>
      </c>
    </row>
    <row r="2340" spans="1:4" x14ac:dyDescent="0.25">
      <c r="A2340" s="7" t="s">
        <v>14705</v>
      </c>
      <c r="B2340" s="8" t="s">
        <v>14706</v>
      </c>
      <c r="C2340" s="8" t="s">
        <v>1865</v>
      </c>
      <c r="D2340" s="8" t="str">
        <f>"9789179292492"</f>
        <v>9789179292492</v>
      </c>
    </row>
    <row r="2341" spans="1:4" x14ac:dyDescent="0.25">
      <c r="A2341" s="7" t="s">
        <v>6943</v>
      </c>
      <c r="B2341" s="8" t="s">
        <v>6944</v>
      </c>
      <c r="C2341" s="8" t="s">
        <v>1865</v>
      </c>
      <c r="D2341" s="8" t="str">
        <f>"9789179296360"</f>
        <v>9789179296360</v>
      </c>
    </row>
    <row r="2342" spans="1:4" x14ac:dyDescent="0.25">
      <c r="A2342" s="7" t="s">
        <v>13945</v>
      </c>
      <c r="B2342" s="8" t="s">
        <v>13946</v>
      </c>
      <c r="C2342" s="8" t="s">
        <v>2274</v>
      </c>
      <c r="D2342" s="8" t="str">
        <f>"9789811953347"</f>
        <v>9789811953347</v>
      </c>
    </row>
    <row r="2343" spans="1:4" x14ac:dyDescent="0.25">
      <c r="A2343" s="7" t="s">
        <v>10932</v>
      </c>
      <c r="B2343" s="8" t="s">
        <v>55</v>
      </c>
      <c r="C2343" s="8" t="s">
        <v>355</v>
      </c>
      <c r="D2343" s="8" t="str">
        <f>"9783110556094"</f>
        <v>9783110556094</v>
      </c>
    </row>
    <row r="2344" spans="1:4" x14ac:dyDescent="0.25">
      <c r="A2344" s="7" t="s">
        <v>5733</v>
      </c>
      <c r="B2344" s="8" t="s">
        <v>77</v>
      </c>
      <c r="C2344" s="8" t="s">
        <v>2273</v>
      </c>
      <c r="D2344" s="8" t="str">
        <f>"9783319750194"</f>
        <v>9783319750194</v>
      </c>
    </row>
    <row r="2345" spans="1:4" ht="30" x14ac:dyDescent="0.25">
      <c r="A2345" s="7" t="s">
        <v>5631</v>
      </c>
      <c r="B2345" s="8" t="s">
        <v>77</v>
      </c>
      <c r="C2345" s="8" t="s">
        <v>2273</v>
      </c>
      <c r="D2345" s="8" t="str">
        <f>"9783030111496"</f>
        <v>9783030111496</v>
      </c>
    </row>
    <row r="2346" spans="1:4" ht="30" x14ac:dyDescent="0.25">
      <c r="A2346" s="7" t="s">
        <v>2807</v>
      </c>
      <c r="B2346" s="8" t="s">
        <v>2808</v>
      </c>
      <c r="C2346" s="8" t="s">
        <v>1865</v>
      </c>
      <c r="D2346" s="8" t="str">
        <f>"9789176857168"</f>
        <v>9789176857168</v>
      </c>
    </row>
    <row r="2347" spans="1:4" x14ac:dyDescent="0.25">
      <c r="A2347" s="7" t="s">
        <v>11743</v>
      </c>
      <c r="B2347" s="8" t="s">
        <v>11744</v>
      </c>
      <c r="C2347" s="8" t="s">
        <v>355</v>
      </c>
      <c r="D2347" s="8" t="str">
        <f>"9783110717884"</f>
        <v>9783110717884</v>
      </c>
    </row>
    <row r="2348" spans="1:4" ht="30" x14ac:dyDescent="0.25">
      <c r="A2348" s="7" t="s">
        <v>1721</v>
      </c>
      <c r="B2348" s="8" t="s">
        <v>1722</v>
      </c>
      <c r="C2348" s="8" t="s">
        <v>1345</v>
      </c>
      <c r="D2348" s="8" t="str">
        <f>"9783862194353"</f>
        <v>9783862194353</v>
      </c>
    </row>
    <row r="2349" spans="1:4" ht="30" x14ac:dyDescent="0.25">
      <c r="A2349" s="7" t="s">
        <v>1511</v>
      </c>
      <c r="B2349" s="8" t="s">
        <v>1512</v>
      </c>
      <c r="C2349" s="8" t="s">
        <v>1345</v>
      </c>
      <c r="D2349" s="8" t="str">
        <f>"9783862194735"</f>
        <v>9783862194735</v>
      </c>
    </row>
    <row r="2350" spans="1:4" ht="30" x14ac:dyDescent="0.25">
      <c r="A2350" s="7" t="s">
        <v>9763</v>
      </c>
      <c r="B2350" s="8" t="s">
        <v>9764</v>
      </c>
      <c r="C2350" s="8" t="s">
        <v>993</v>
      </c>
      <c r="D2350" s="8" t="str">
        <f>"9783839404089"</f>
        <v>9783839404089</v>
      </c>
    </row>
    <row r="2351" spans="1:4" x14ac:dyDescent="0.25">
      <c r="A2351" s="7" t="s">
        <v>9560</v>
      </c>
      <c r="B2351" s="8" t="s">
        <v>9561</v>
      </c>
      <c r="C2351" s="8" t="s">
        <v>5086</v>
      </c>
      <c r="D2351" s="8" t="str">
        <f>"9783658370534"</f>
        <v>9783658370534</v>
      </c>
    </row>
    <row r="2352" spans="1:4" x14ac:dyDescent="0.25">
      <c r="A2352" s="7" t="s">
        <v>12173</v>
      </c>
      <c r="B2352" s="8" t="s">
        <v>12174</v>
      </c>
      <c r="C2352" s="8" t="s">
        <v>355</v>
      </c>
      <c r="D2352" s="8" t="str">
        <f>"9783110721447"</f>
        <v>9783110721447</v>
      </c>
    </row>
    <row r="2353" spans="1:4" x14ac:dyDescent="0.25">
      <c r="A2353" s="7" t="s">
        <v>11281</v>
      </c>
      <c r="B2353" s="8" t="s">
        <v>11282</v>
      </c>
      <c r="C2353" s="8" t="s">
        <v>355</v>
      </c>
      <c r="D2353" s="8" t="str">
        <f>"9783110707168"</f>
        <v>9783110707168</v>
      </c>
    </row>
    <row r="2354" spans="1:4" ht="30" x14ac:dyDescent="0.25">
      <c r="A2354" s="7" t="s">
        <v>3147</v>
      </c>
      <c r="B2354" s="8" t="s">
        <v>3148</v>
      </c>
      <c r="C2354" s="8" t="s">
        <v>1865</v>
      </c>
      <c r="D2354" s="8" t="str">
        <f>"9789176855447"</f>
        <v>9789176855447</v>
      </c>
    </row>
    <row r="2355" spans="1:4" ht="30" x14ac:dyDescent="0.25">
      <c r="A2355" s="7" t="s">
        <v>4978</v>
      </c>
      <c r="B2355" s="8" t="s">
        <v>4979</v>
      </c>
      <c r="C2355" s="8" t="s">
        <v>562</v>
      </c>
      <c r="D2355" s="8" t="str">
        <f>"9781478012085"</f>
        <v>9781478012085</v>
      </c>
    </row>
    <row r="2356" spans="1:4" x14ac:dyDescent="0.25">
      <c r="A2356" s="7" t="s">
        <v>8831</v>
      </c>
      <c r="B2356" s="8" t="s">
        <v>8832</v>
      </c>
      <c r="C2356" s="8" t="s">
        <v>8805</v>
      </c>
      <c r="D2356" s="8" t="str">
        <f>"9781934831069"</f>
        <v>9781934831069</v>
      </c>
    </row>
    <row r="2357" spans="1:4" x14ac:dyDescent="0.25">
      <c r="A2357" s="7" t="s">
        <v>7842</v>
      </c>
      <c r="B2357" s="8" t="s">
        <v>7843</v>
      </c>
      <c r="C2357" s="8" t="s">
        <v>5083</v>
      </c>
      <c r="D2357" s="8" t="str">
        <f>"9783658345693"</f>
        <v>9783658345693</v>
      </c>
    </row>
    <row r="2358" spans="1:4" x14ac:dyDescent="0.25">
      <c r="A2358" s="7" t="s">
        <v>7129</v>
      </c>
      <c r="B2358" s="8" t="s">
        <v>7130</v>
      </c>
      <c r="C2358" s="8" t="s">
        <v>355</v>
      </c>
      <c r="D2358" s="8" t="str">
        <f>"9783110619003"</f>
        <v>9783110619003</v>
      </c>
    </row>
    <row r="2359" spans="1:4" ht="30" x14ac:dyDescent="0.25">
      <c r="A2359" s="7" t="s">
        <v>14394</v>
      </c>
      <c r="B2359" s="8" t="s">
        <v>14395</v>
      </c>
      <c r="C2359" s="8" t="s">
        <v>4882</v>
      </c>
      <c r="D2359" s="8" t="str">
        <f>"9781800855687"</f>
        <v>9781800855687</v>
      </c>
    </row>
    <row r="2360" spans="1:4" ht="30" x14ac:dyDescent="0.25">
      <c r="A2360" s="7" t="s">
        <v>2761</v>
      </c>
      <c r="B2360" s="8" t="s">
        <v>2762</v>
      </c>
      <c r="C2360" s="8" t="s">
        <v>1865</v>
      </c>
      <c r="D2360" s="8" t="str">
        <f>"9789176856864"</f>
        <v>9789176856864</v>
      </c>
    </row>
    <row r="2361" spans="1:4" x14ac:dyDescent="0.25">
      <c r="A2361" s="7" t="s">
        <v>14275</v>
      </c>
      <c r="B2361" s="8" t="s">
        <v>14276</v>
      </c>
      <c r="C2361" s="8" t="s">
        <v>5086</v>
      </c>
      <c r="D2361" s="8" t="str">
        <f>"9783658387037"</f>
        <v>9783658387037</v>
      </c>
    </row>
    <row r="2362" spans="1:4" x14ac:dyDescent="0.25">
      <c r="A2362" s="7" t="s">
        <v>14553</v>
      </c>
      <c r="B2362" s="8" t="s">
        <v>14554</v>
      </c>
      <c r="C2362" s="8" t="s">
        <v>1865</v>
      </c>
      <c r="D2362" s="8" t="str">
        <f>"9789179292218"</f>
        <v>9789179292218</v>
      </c>
    </row>
    <row r="2363" spans="1:4" x14ac:dyDescent="0.25">
      <c r="A2363" s="7" t="s">
        <v>4453</v>
      </c>
      <c r="B2363" s="8" t="s">
        <v>4454</v>
      </c>
      <c r="C2363" s="8" t="s">
        <v>1865</v>
      </c>
      <c r="D2363" s="8" t="str">
        <f>"9789176850909"</f>
        <v>9789176850909</v>
      </c>
    </row>
    <row r="2364" spans="1:4" x14ac:dyDescent="0.25">
      <c r="A2364" s="7" t="s">
        <v>9064</v>
      </c>
      <c r="B2364" s="8" t="s">
        <v>9065</v>
      </c>
      <c r="C2364" s="8" t="s">
        <v>1865</v>
      </c>
      <c r="D2364" s="8" t="str">
        <f>"9789179291976"</f>
        <v>9789179291976</v>
      </c>
    </row>
    <row r="2365" spans="1:4" x14ac:dyDescent="0.25">
      <c r="A2365" s="7" t="s">
        <v>2496</v>
      </c>
      <c r="B2365" s="8" t="s">
        <v>2497</v>
      </c>
      <c r="C2365" s="8" t="s">
        <v>1865</v>
      </c>
      <c r="D2365" s="8" t="str">
        <f>"9789176858752"</f>
        <v>9789176858752</v>
      </c>
    </row>
    <row r="2366" spans="1:4" ht="30" x14ac:dyDescent="0.25">
      <c r="A2366" s="7" t="s">
        <v>15747</v>
      </c>
      <c r="B2366" s="8" t="s">
        <v>15748</v>
      </c>
      <c r="C2366" s="8" t="s">
        <v>1865</v>
      </c>
      <c r="D2366" s="8" t="str">
        <f>"9789175196725"</f>
        <v>9789175196725</v>
      </c>
    </row>
    <row r="2367" spans="1:4" ht="30" x14ac:dyDescent="0.25">
      <c r="A2367" s="7" t="s">
        <v>14606</v>
      </c>
      <c r="B2367" s="8" t="s">
        <v>14607</v>
      </c>
      <c r="C2367" s="8" t="s">
        <v>1865</v>
      </c>
      <c r="D2367" s="8" t="str">
        <f>"9789179292027"</f>
        <v>9789179292027</v>
      </c>
    </row>
    <row r="2368" spans="1:4" ht="30" x14ac:dyDescent="0.25">
      <c r="A2368" s="7" t="s">
        <v>9979</v>
      </c>
      <c r="B2368" s="8" t="s">
        <v>9980</v>
      </c>
      <c r="C2368" s="8" t="s">
        <v>993</v>
      </c>
      <c r="D2368" s="8" t="str">
        <f>"9783839409329"</f>
        <v>9783839409329</v>
      </c>
    </row>
    <row r="2369" spans="1:4" ht="30" x14ac:dyDescent="0.25">
      <c r="A2369" s="7" t="s">
        <v>7446</v>
      </c>
      <c r="B2369" s="8" t="s">
        <v>7447</v>
      </c>
      <c r="C2369" s="8" t="s">
        <v>993</v>
      </c>
      <c r="D2369" s="8" t="str">
        <f>"9783839435410"</f>
        <v>9783839435410</v>
      </c>
    </row>
    <row r="2370" spans="1:4" x14ac:dyDescent="0.25">
      <c r="A2370" s="7" t="s">
        <v>12090</v>
      </c>
      <c r="B2370" s="8" t="s">
        <v>12091</v>
      </c>
      <c r="C2370" s="8" t="s">
        <v>355</v>
      </c>
      <c r="D2370" s="8" t="str">
        <f>"9783110726213"</f>
        <v>9783110726213</v>
      </c>
    </row>
    <row r="2371" spans="1:4" x14ac:dyDescent="0.25">
      <c r="A2371" s="7" t="s">
        <v>2070</v>
      </c>
      <c r="B2371" s="8" t="s">
        <v>2071</v>
      </c>
      <c r="C2371" s="8" t="s">
        <v>1962</v>
      </c>
      <c r="D2371" s="8" t="str">
        <f>"9782759222674"</f>
        <v>9782759222674</v>
      </c>
    </row>
    <row r="2372" spans="1:4" x14ac:dyDescent="0.25">
      <c r="A2372" s="7" t="s">
        <v>6251</v>
      </c>
      <c r="B2372" s="8" t="s">
        <v>6252</v>
      </c>
      <c r="C2372" s="8" t="s">
        <v>4245</v>
      </c>
      <c r="D2372" s="8" t="str">
        <f>"9789811049569"</f>
        <v>9789811049569</v>
      </c>
    </row>
    <row r="2373" spans="1:4" x14ac:dyDescent="0.25">
      <c r="A2373" s="7" t="s">
        <v>6892</v>
      </c>
      <c r="B2373" s="8" t="s">
        <v>6893</v>
      </c>
      <c r="C2373" s="8" t="s">
        <v>1879</v>
      </c>
      <c r="D2373" s="8" t="str">
        <f>"9781783749959"</f>
        <v>9781783749959</v>
      </c>
    </row>
    <row r="2374" spans="1:4" ht="30" x14ac:dyDescent="0.25">
      <c r="A2374" s="7" t="s">
        <v>11400</v>
      </c>
      <c r="B2374" s="8" t="s">
        <v>11401</v>
      </c>
      <c r="C2374" s="8" t="s">
        <v>355</v>
      </c>
      <c r="D2374" s="8" t="str">
        <f>"9783110661941"</f>
        <v>9783110661941</v>
      </c>
    </row>
    <row r="2375" spans="1:4" x14ac:dyDescent="0.25">
      <c r="A2375" s="7" t="s">
        <v>13481</v>
      </c>
      <c r="B2375" s="8" t="s">
        <v>13482</v>
      </c>
      <c r="C2375" s="8" t="s">
        <v>2273</v>
      </c>
      <c r="D2375" s="8" t="str">
        <f>"9783031133145"</f>
        <v>9783031133145</v>
      </c>
    </row>
    <row r="2376" spans="1:4" x14ac:dyDescent="0.25">
      <c r="A2376" s="7" t="s">
        <v>10881</v>
      </c>
      <c r="B2376" s="8" t="s">
        <v>10882</v>
      </c>
      <c r="C2376" s="8" t="s">
        <v>5086</v>
      </c>
      <c r="D2376" s="8" t="str">
        <f>"9783658353261"</f>
        <v>9783658353261</v>
      </c>
    </row>
    <row r="2377" spans="1:4" x14ac:dyDescent="0.25">
      <c r="A2377" s="7" t="s">
        <v>9361</v>
      </c>
      <c r="B2377" s="8" t="s">
        <v>221</v>
      </c>
      <c r="C2377" s="8" t="s">
        <v>9256</v>
      </c>
      <c r="D2377" s="8" t="str">
        <f>"9788021096257"</f>
        <v>9788021096257</v>
      </c>
    </row>
    <row r="2378" spans="1:4" x14ac:dyDescent="0.25">
      <c r="A2378" s="7" t="s">
        <v>15533</v>
      </c>
      <c r="B2378" s="8" t="s">
        <v>15534</v>
      </c>
      <c r="C2378" s="8" t="s">
        <v>1865</v>
      </c>
      <c r="D2378" s="8" t="str">
        <f>"9789175190501"</f>
        <v>9789175190501</v>
      </c>
    </row>
    <row r="2379" spans="1:4" ht="30" x14ac:dyDescent="0.25">
      <c r="A2379" s="7" t="s">
        <v>3791</v>
      </c>
      <c r="B2379" s="8" t="s">
        <v>3792</v>
      </c>
      <c r="C2379" s="8" t="s">
        <v>355</v>
      </c>
      <c r="D2379" s="8" t="str">
        <f>"9783110543087"</f>
        <v>9783110543087</v>
      </c>
    </row>
    <row r="2380" spans="1:4" x14ac:dyDescent="0.25">
      <c r="A2380" s="7" t="s">
        <v>11547</v>
      </c>
      <c r="B2380" s="8" t="s">
        <v>7120</v>
      </c>
      <c r="C2380" s="8" t="s">
        <v>355</v>
      </c>
      <c r="D2380" s="8" t="str">
        <f>"9783110695755"</f>
        <v>9783110695755</v>
      </c>
    </row>
    <row r="2381" spans="1:4" x14ac:dyDescent="0.25">
      <c r="A2381" s="7" t="s">
        <v>9426</v>
      </c>
      <c r="B2381" s="8" t="s">
        <v>137</v>
      </c>
      <c r="C2381" s="8" t="s">
        <v>9256</v>
      </c>
      <c r="D2381" s="8" t="str">
        <f>"9788021098657"</f>
        <v>9788021098657</v>
      </c>
    </row>
    <row r="2382" spans="1:4" x14ac:dyDescent="0.25">
      <c r="A2382" s="7" t="s">
        <v>4892</v>
      </c>
      <c r="B2382" s="8" t="s">
        <v>4893</v>
      </c>
      <c r="C2382" s="8" t="s">
        <v>1865</v>
      </c>
      <c r="D2382" s="8" t="str">
        <f>"9789179299149"</f>
        <v>9789179299149</v>
      </c>
    </row>
    <row r="2383" spans="1:4" x14ac:dyDescent="0.25">
      <c r="A2383" s="7" t="s">
        <v>4512</v>
      </c>
      <c r="B2383" s="8" t="s">
        <v>4513</v>
      </c>
      <c r="C2383" s="8" t="s">
        <v>1865</v>
      </c>
      <c r="D2383" s="8" t="str">
        <f>"9789176850893"</f>
        <v>9789176850893</v>
      </c>
    </row>
    <row r="2384" spans="1:4" x14ac:dyDescent="0.25">
      <c r="A2384" s="7" t="s">
        <v>8658</v>
      </c>
      <c r="B2384" s="8" t="s">
        <v>8659</v>
      </c>
      <c r="C2384" s="8" t="s">
        <v>1879</v>
      </c>
      <c r="D2384" s="8" t="str">
        <f>"9781800641969"</f>
        <v>9781800641969</v>
      </c>
    </row>
    <row r="2385" spans="1:4" ht="30" x14ac:dyDescent="0.25">
      <c r="A2385" s="7" t="s">
        <v>11313</v>
      </c>
      <c r="B2385" s="8" t="s">
        <v>11314</v>
      </c>
      <c r="C2385" s="8" t="s">
        <v>316</v>
      </c>
      <c r="D2385" s="8" t="str">
        <f>"9783110708530"</f>
        <v>9783110708530</v>
      </c>
    </row>
    <row r="2386" spans="1:4" ht="30" x14ac:dyDescent="0.25">
      <c r="A2386" s="7" t="s">
        <v>974</v>
      </c>
      <c r="B2386" s="8" t="s">
        <v>975</v>
      </c>
      <c r="C2386" s="8" t="s">
        <v>697</v>
      </c>
      <c r="D2386" s="8" t="str">
        <f>"9789004284340"</f>
        <v>9789004284340</v>
      </c>
    </row>
    <row r="2387" spans="1:4" x14ac:dyDescent="0.25">
      <c r="A2387" s="7" t="s">
        <v>12608</v>
      </c>
      <c r="B2387" s="8" t="s">
        <v>12609</v>
      </c>
      <c r="C2387" s="8" t="s">
        <v>2273</v>
      </c>
      <c r="D2387" s="8" t="str">
        <f>"9783031065705"</f>
        <v>9783031065705</v>
      </c>
    </row>
    <row r="2388" spans="1:4" x14ac:dyDescent="0.25">
      <c r="A2388" s="7" t="s">
        <v>7619</v>
      </c>
      <c r="B2388" s="8" t="s">
        <v>7620</v>
      </c>
      <c r="C2388" s="8" t="s">
        <v>993</v>
      </c>
      <c r="D2388" s="8" t="str">
        <f>"9783839423066"</f>
        <v>9783839423066</v>
      </c>
    </row>
    <row r="2389" spans="1:4" x14ac:dyDescent="0.25">
      <c r="A2389" s="7" t="s">
        <v>4431</v>
      </c>
      <c r="B2389" s="8" t="s">
        <v>4432</v>
      </c>
      <c r="C2389" s="8" t="s">
        <v>1865</v>
      </c>
      <c r="D2389" s="8" t="str">
        <f>"9789176850725"</f>
        <v>9789176850725</v>
      </c>
    </row>
    <row r="2390" spans="1:4" ht="30" x14ac:dyDescent="0.25">
      <c r="A2390" s="7" t="s">
        <v>7569</v>
      </c>
      <c r="B2390" s="8" t="s">
        <v>7570</v>
      </c>
      <c r="C2390" s="8" t="s">
        <v>993</v>
      </c>
      <c r="D2390" s="8" t="str">
        <f>"9783839414224"</f>
        <v>9783839414224</v>
      </c>
    </row>
    <row r="2391" spans="1:4" x14ac:dyDescent="0.25">
      <c r="A2391" s="7" t="s">
        <v>3842</v>
      </c>
      <c r="B2391" s="8" t="s">
        <v>3843</v>
      </c>
      <c r="C2391" s="8" t="s">
        <v>355</v>
      </c>
      <c r="D2391" s="8" t="str">
        <f>"9783110496604"</f>
        <v>9783110496604</v>
      </c>
    </row>
    <row r="2392" spans="1:4" x14ac:dyDescent="0.25">
      <c r="A2392" s="7" t="s">
        <v>13711</v>
      </c>
      <c r="B2392" s="8" t="s">
        <v>13712</v>
      </c>
      <c r="C2392" s="8" t="s">
        <v>993</v>
      </c>
      <c r="D2392" s="8" t="str">
        <f>"9783839464090"</f>
        <v>9783839464090</v>
      </c>
    </row>
    <row r="2393" spans="1:4" ht="30" x14ac:dyDescent="0.25">
      <c r="A2393" s="7" t="s">
        <v>7582</v>
      </c>
      <c r="B2393" s="8" t="s">
        <v>7550</v>
      </c>
      <c r="C2393" s="8" t="s">
        <v>993</v>
      </c>
      <c r="D2393" s="8" t="str">
        <f>"9783839416679"</f>
        <v>9783839416679</v>
      </c>
    </row>
    <row r="2394" spans="1:4" ht="30" x14ac:dyDescent="0.25">
      <c r="A2394" s="7" t="s">
        <v>7549</v>
      </c>
      <c r="B2394" s="8" t="s">
        <v>7550</v>
      </c>
      <c r="C2394" s="8" t="s">
        <v>993</v>
      </c>
      <c r="D2394" s="8" t="str">
        <f>"9783839414484"</f>
        <v>9783839414484</v>
      </c>
    </row>
    <row r="2395" spans="1:4" x14ac:dyDescent="0.25">
      <c r="A2395" s="7" t="s">
        <v>13442</v>
      </c>
      <c r="B2395" s="8" t="s">
        <v>13443</v>
      </c>
      <c r="C2395" s="8" t="s">
        <v>2273</v>
      </c>
      <c r="D2395" s="8" t="str">
        <f>"9783031125904"</f>
        <v>9783031125904</v>
      </c>
    </row>
    <row r="2396" spans="1:4" ht="30" x14ac:dyDescent="0.25">
      <c r="A2396" s="7" t="s">
        <v>6595</v>
      </c>
      <c r="B2396" s="8" t="s">
        <v>6596</v>
      </c>
      <c r="C2396" s="8" t="s">
        <v>993</v>
      </c>
      <c r="D2396" s="8" t="str">
        <f>"9783839456736"</f>
        <v>9783839456736</v>
      </c>
    </row>
    <row r="2397" spans="1:4" ht="30" x14ac:dyDescent="0.25">
      <c r="A2397" s="7" t="s">
        <v>14806</v>
      </c>
      <c r="B2397" s="8" t="s">
        <v>14807</v>
      </c>
      <c r="C2397" s="8" t="s">
        <v>1865</v>
      </c>
      <c r="D2397" s="8" t="str">
        <f>"9789175194660"</f>
        <v>9789175194660</v>
      </c>
    </row>
    <row r="2398" spans="1:4" x14ac:dyDescent="0.25">
      <c r="A2398" s="7" t="s">
        <v>13678</v>
      </c>
      <c r="B2398" s="8" t="s">
        <v>13679</v>
      </c>
      <c r="C2398" s="8" t="s">
        <v>2273</v>
      </c>
      <c r="D2398" s="8" t="str">
        <f>"9783031190780"</f>
        <v>9783031190780</v>
      </c>
    </row>
    <row r="2399" spans="1:4" ht="30" x14ac:dyDescent="0.25">
      <c r="A2399" s="7" t="s">
        <v>10112</v>
      </c>
      <c r="B2399" s="8" t="s">
        <v>10113</v>
      </c>
      <c r="C2399" s="8" t="s">
        <v>993</v>
      </c>
      <c r="D2399" s="8" t="str">
        <f>"9783839435366"</f>
        <v>9783839435366</v>
      </c>
    </row>
    <row r="2400" spans="1:4" ht="30" x14ac:dyDescent="0.25">
      <c r="A2400" s="7" t="s">
        <v>4888</v>
      </c>
      <c r="B2400" s="8" t="s">
        <v>4889</v>
      </c>
      <c r="C2400" s="8" t="s">
        <v>1865</v>
      </c>
      <c r="D2400" s="8" t="str">
        <f>"9789179299101"</f>
        <v>9789179299101</v>
      </c>
    </row>
    <row r="2401" spans="1:4" x14ac:dyDescent="0.25">
      <c r="A2401" s="7" t="s">
        <v>9864</v>
      </c>
      <c r="B2401" s="8" t="s">
        <v>9865</v>
      </c>
      <c r="C2401" s="8" t="s">
        <v>993</v>
      </c>
      <c r="D2401" s="8" t="str">
        <f>"9783839406854"</f>
        <v>9783839406854</v>
      </c>
    </row>
    <row r="2402" spans="1:4" x14ac:dyDescent="0.25">
      <c r="A2402" s="7" t="s">
        <v>12693</v>
      </c>
      <c r="B2402" s="8" t="s">
        <v>12694</v>
      </c>
      <c r="C2402" s="8" t="s">
        <v>2273</v>
      </c>
      <c r="D2402" s="8" t="str">
        <f>"9783031135125"</f>
        <v>9783031135125</v>
      </c>
    </row>
    <row r="2403" spans="1:4" x14ac:dyDescent="0.25">
      <c r="A2403" s="7" t="s">
        <v>6430</v>
      </c>
      <c r="B2403" s="8" t="s">
        <v>6431</v>
      </c>
      <c r="C2403" s="8" t="s">
        <v>5942</v>
      </c>
      <c r="D2403" s="8" t="str">
        <f>"9783662626351"</f>
        <v>9783662626351</v>
      </c>
    </row>
    <row r="2404" spans="1:4" ht="30" x14ac:dyDescent="0.25">
      <c r="A2404" s="7" t="s">
        <v>11601</v>
      </c>
      <c r="B2404" s="8" t="s">
        <v>174</v>
      </c>
      <c r="C2404" s="8" t="s">
        <v>355</v>
      </c>
      <c r="D2404" s="8" t="str">
        <f>"9783110692990"</f>
        <v>9783110692990</v>
      </c>
    </row>
    <row r="2405" spans="1:4" x14ac:dyDescent="0.25">
      <c r="A2405" s="7" t="s">
        <v>304</v>
      </c>
      <c r="B2405" s="8" t="s">
        <v>305</v>
      </c>
      <c r="C2405" s="8" t="s">
        <v>227</v>
      </c>
      <c r="D2405" s="8" t="str">
        <f>"9781847790231"</f>
        <v>9781847790231</v>
      </c>
    </row>
    <row r="2406" spans="1:4" x14ac:dyDescent="0.25">
      <c r="A2406" s="7" t="s">
        <v>1439</v>
      </c>
      <c r="B2406" s="8" t="s">
        <v>1440</v>
      </c>
      <c r="C2406" s="8" t="s">
        <v>1345</v>
      </c>
      <c r="D2406" s="8" t="str">
        <f>"9783862190515"</f>
        <v>9783862190515</v>
      </c>
    </row>
    <row r="2407" spans="1:4" x14ac:dyDescent="0.25">
      <c r="A2407" s="7" t="s">
        <v>15162</v>
      </c>
      <c r="B2407" s="8" t="s">
        <v>15163</v>
      </c>
      <c r="C2407" s="8" t="s">
        <v>1865</v>
      </c>
      <c r="D2407" s="8" t="str">
        <f>"9789176853924"</f>
        <v>9789176853924</v>
      </c>
    </row>
    <row r="2408" spans="1:4" ht="30" x14ac:dyDescent="0.25">
      <c r="A2408" s="7" t="s">
        <v>3161</v>
      </c>
      <c r="B2408" s="8" t="s">
        <v>3162</v>
      </c>
      <c r="C2408" s="8" t="s">
        <v>1865</v>
      </c>
      <c r="D2408" s="8" t="str">
        <f>"9789176855461"</f>
        <v>9789176855461</v>
      </c>
    </row>
    <row r="2409" spans="1:4" x14ac:dyDescent="0.25">
      <c r="A2409" s="7" t="s">
        <v>3950</v>
      </c>
      <c r="B2409" s="8" t="s">
        <v>2152</v>
      </c>
      <c r="C2409" s="8" t="s">
        <v>1879</v>
      </c>
      <c r="D2409" s="8" t="str">
        <f>"9781783744480"</f>
        <v>9781783744480</v>
      </c>
    </row>
    <row r="2410" spans="1:4" x14ac:dyDescent="0.25">
      <c r="A2410" s="7" t="s">
        <v>3745</v>
      </c>
      <c r="B2410" s="8" t="s">
        <v>3746</v>
      </c>
      <c r="C2410" s="8" t="s">
        <v>1865</v>
      </c>
      <c r="D2410" s="8" t="str">
        <f>"9789176853115"</f>
        <v>9789176853115</v>
      </c>
    </row>
    <row r="2411" spans="1:4" x14ac:dyDescent="0.25">
      <c r="A2411" s="7" t="s">
        <v>11831</v>
      </c>
      <c r="B2411" s="8" t="s">
        <v>11832</v>
      </c>
      <c r="C2411" s="8" t="s">
        <v>316</v>
      </c>
      <c r="D2411" s="8" t="str">
        <f>"9783110878592"</f>
        <v>9783110878592</v>
      </c>
    </row>
    <row r="2412" spans="1:4" x14ac:dyDescent="0.25">
      <c r="A2412" s="7" t="s">
        <v>2666</v>
      </c>
      <c r="B2412" s="8" t="s">
        <v>2667</v>
      </c>
      <c r="C2412" s="8" t="s">
        <v>1224</v>
      </c>
      <c r="D2412" s="8" t="str">
        <f>"9781618115270"</f>
        <v>9781618115270</v>
      </c>
    </row>
    <row r="2413" spans="1:4" x14ac:dyDescent="0.25">
      <c r="A2413" s="7" t="s">
        <v>11065</v>
      </c>
      <c r="B2413" s="8" t="s">
        <v>11066</v>
      </c>
      <c r="C2413" s="8" t="s">
        <v>6707</v>
      </c>
      <c r="D2413" s="8" t="str">
        <f>"9780472901326"</f>
        <v>9780472901326</v>
      </c>
    </row>
    <row r="2414" spans="1:4" x14ac:dyDescent="0.25">
      <c r="A2414" s="7" t="s">
        <v>3042</v>
      </c>
      <c r="B2414" s="8" t="s">
        <v>3043</v>
      </c>
      <c r="C2414" s="8" t="s">
        <v>562</v>
      </c>
      <c r="D2414" s="8" t="str">
        <f>"9780822373407"</f>
        <v>9780822373407</v>
      </c>
    </row>
    <row r="2415" spans="1:4" ht="30" x14ac:dyDescent="0.25">
      <c r="A2415" s="7" t="s">
        <v>2813</v>
      </c>
      <c r="B2415" s="8" t="s">
        <v>2814</v>
      </c>
      <c r="C2415" s="8" t="s">
        <v>1345</v>
      </c>
      <c r="D2415" s="8" t="str">
        <f>"9783737602150"</f>
        <v>9783737602150</v>
      </c>
    </row>
    <row r="2416" spans="1:4" x14ac:dyDescent="0.25">
      <c r="A2416" s="7" t="s">
        <v>15218</v>
      </c>
      <c r="B2416" s="8" t="s">
        <v>15219</v>
      </c>
      <c r="C2416" s="8" t="s">
        <v>1865</v>
      </c>
      <c r="D2416" s="8" t="str">
        <f>"9789175196138"</f>
        <v>9789175196138</v>
      </c>
    </row>
    <row r="2417" spans="1:4" ht="30" x14ac:dyDescent="0.25">
      <c r="A2417" s="7" t="s">
        <v>13631</v>
      </c>
      <c r="B2417" s="8" t="s">
        <v>13632</v>
      </c>
      <c r="C2417" s="8" t="s">
        <v>993</v>
      </c>
      <c r="D2417" s="8" t="str">
        <f>"9783839464885"</f>
        <v>9783839464885</v>
      </c>
    </row>
    <row r="2418" spans="1:4" x14ac:dyDescent="0.25">
      <c r="A2418" s="7" t="s">
        <v>10735</v>
      </c>
      <c r="B2418" s="8" t="s">
        <v>162</v>
      </c>
      <c r="C2418" s="8" t="s">
        <v>1876</v>
      </c>
      <c r="D2418" s="8" t="str">
        <f>"9780980464856"</f>
        <v>9780980464856</v>
      </c>
    </row>
    <row r="2419" spans="1:4" ht="30" x14ac:dyDescent="0.25">
      <c r="A2419" s="7" t="s">
        <v>1256</v>
      </c>
      <c r="B2419" s="8" t="s">
        <v>1257</v>
      </c>
      <c r="C2419" s="8" t="s">
        <v>1224</v>
      </c>
      <c r="D2419" s="8" t="str">
        <f>"9781618116871"</f>
        <v>9781618116871</v>
      </c>
    </row>
    <row r="2420" spans="1:4" x14ac:dyDescent="0.25">
      <c r="A2420" s="7" t="s">
        <v>7166</v>
      </c>
      <c r="B2420" s="8" t="s">
        <v>7167</v>
      </c>
      <c r="C2420" s="8" t="s">
        <v>355</v>
      </c>
      <c r="D2420" s="8" t="str">
        <f>"9783110635942"</f>
        <v>9783110635942</v>
      </c>
    </row>
    <row r="2421" spans="1:4" x14ac:dyDescent="0.25">
      <c r="A2421" s="7" t="s">
        <v>15407</v>
      </c>
      <c r="B2421" s="8" t="s">
        <v>5174</v>
      </c>
      <c r="C2421" s="8" t="s">
        <v>1865</v>
      </c>
      <c r="D2421" s="8" t="str">
        <f>"9789176856734"</f>
        <v>9789176856734</v>
      </c>
    </row>
    <row r="2422" spans="1:4" x14ac:dyDescent="0.25">
      <c r="A2422" s="7" t="s">
        <v>5173</v>
      </c>
      <c r="B2422" s="8" t="s">
        <v>5174</v>
      </c>
      <c r="C2422" s="8" t="s">
        <v>1865</v>
      </c>
      <c r="D2422" s="8" t="str">
        <f>"9789179298173"</f>
        <v>9789179298173</v>
      </c>
    </row>
    <row r="2423" spans="1:4" x14ac:dyDescent="0.25">
      <c r="A2423" s="7" t="s">
        <v>12634</v>
      </c>
      <c r="B2423" s="8" t="s">
        <v>12635</v>
      </c>
      <c r="C2423" s="8" t="s">
        <v>2273</v>
      </c>
      <c r="D2423" s="8" t="str">
        <f>"9783031090080"</f>
        <v>9783031090080</v>
      </c>
    </row>
    <row r="2424" spans="1:4" x14ac:dyDescent="0.25">
      <c r="A2424" s="7" t="s">
        <v>5568</v>
      </c>
      <c r="B2424" s="8" t="s">
        <v>5569</v>
      </c>
      <c r="C2424" s="8" t="s">
        <v>1865</v>
      </c>
      <c r="D2424" s="8" t="str">
        <f>"9789179297503"</f>
        <v>9789179297503</v>
      </c>
    </row>
    <row r="2425" spans="1:4" x14ac:dyDescent="0.25">
      <c r="A2425" s="7" t="s">
        <v>16257</v>
      </c>
      <c r="B2425" s="8" t="s">
        <v>16256</v>
      </c>
      <c r="C2425" s="8" t="s">
        <v>1865</v>
      </c>
      <c r="D2425" s="8" t="str">
        <f>"9789175192611"</f>
        <v>9789175192611</v>
      </c>
    </row>
    <row r="2426" spans="1:4" x14ac:dyDescent="0.25">
      <c r="A2426" s="7" t="s">
        <v>14224</v>
      </c>
      <c r="B2426" s="8" t="s">
        <v>134</v>
      </c>
      <c r="C2426" s="8" t="s">
        <v>9256</v>
      </c>
      <c r="D2426" s="8" t="str">
        <f>"9788028001650"</f>
        <v>9788028001650</v>
      </c>
    </row>
    <row r="2427" spans="1:4" x14ac:dyDescent="0.25">
      <c r="A2427" s="7" t="s">
        <v>2056</v>
      </c>
      <c r="B2427" s="8" t="s">
        <v>2057</v>
      </c>
      <c r="C2427" s="8" t="s">
        <v>1962</v>
      </c>
      <c r="D2427" s="8" t="str">
        <f>"9782759216857"</f>
        <v>9782759216857</v>
      </c>
    </row>
    <row r="2428" spans="1:4" x14ac:dyDescent="0.25">
      <c r="A2428" s="7" t="s">
        <v>7951</v>
      </c>
      <c r="B2428" s="8" t="s">
        <v>7952</v>
      </c>
      <c r="C2428" s="8" t="s">
        <v>1962</v>
      </c>
      <c r="D2428" s="8" t="str">
        <f>"9782759231737"</f>
        <v>9782759231737</v>
      </c>
    </row>
    <row r="2429" spans="1:4" ht="30" x14ac:dyDescent="0.25">
      <c r="A2429" s="7" t="s">
        <v>2012</v>
      </c>
      <c r="B2429" s="8" t="s">
        <v>2013</v>
      </c>
      <c r="C2429" s="8" t="s">
        <v>1962</v>
      </c>
      <c r="D2429" s="8" t="str">
        <f>"9782759206995"</f>
        <v>9782759206995</v>
      </c>
    </row>
    <row r="2430" spans="1:4" ht="30" x14ac:dyDescent="0.25">
      <c r="A2430" s="7" t="s">
        <v>12497</v>
      </c>
      <c r="B2430" s="8" t="s">
        <v>12498</v>
      </c>
      <c r="C2430" s="8" t="s">
        <v>5086</v>
      </c>
      <c r="D2430" s="8" t="str">
        <f>"9783658379285"</f>
        <v>9783658379285</v>
      </c>
    </row>
    <row r="2431" spans="1:4" x14ac:dyDescent="0.25">
      <c r="A2431" s="7" t="s">
        <v>14833</v>
      </c>
      <c r="B2431" s="8" t="s">
        <v>14714</v>
      </c>
      <c r="C2431" s="8" t="s">
        <v>1865</v>
      </c>
      <c r="D2431" s="8" t="str">
        <f>"9789175193892"</f>
        <v>9789175193892</v>
      </c>
    </row>
    <row r="2432" spans="1:4" ht="30" x14ac:dyDescent="0.25">
      <c r="A2432" s="7" t="s">
        <v>9121</v>
      </c>
      <c r="B2432" s="8" t="s">
        <v>9122</v>
      </c>
      <c r="C2432" s="8" t="s">
        <v>2273</v>
      </c>
      <c r="D2432" s="8" t="str">
        <f>"9783030934293"</f>
        <v>9783030934293</v>
      </c>
    </row>
    <row r="2433" spans="1:4" x14ac:dyDescent="0.25">
      <c r="A2433" s="7" t="s">
        <v>11766</v>
      </c>
      <c r="B2433" s="8" t="s">
        <v>2554</v>
      </c>
      <c r="C2433" s="8" t="s">
        <v>355</v>
      </c>
      <c r="D2433" s="8" t="str">
        <f>"9783110726572"</f>
        <v>9783110726572</v>
      </c>
    </row>
    <row r="2434" spans="1:4" x14ac:dyDescent="0.25">
      <c r="A2434" s="7" t="s">
        <v>9928</v>
      </c>
      <c r="B2434" s="8" t="s">
        <v>9929</v>
      </c>
      <c r="C2434" s="8" t="s">
        <v>993</v>
      </c>
      <c r="D2434" s="8" t="str">
        <f>"9783839408278"</f>
        <v>9783839408278</v>
      </c>
    </row>
    <row r="2435" spans="1:4" x14ac:dyDescent="0.25">
      <c r="A2435" s="7" t="s">
        <v>5390</v>
      </c>
      <c r="B2435" s="8" t="s">
        <v>5391</v>
      </c>
      <c r="C2435" s="8" t="s">
        <v>993</v>
      </c>
      <c r="D2435" s="8" t="str">
        <f>"9783839443101"</f>
        <v>9783839443101</v>
      </c>
    </row>
    <row r="2436" spans="1:4" x14ac:dyDescent="0.25">
      <c r="A2436" s="7" t="s">
        <v>3040</v>
      </c>
      <c r="B2436" s="8" t="s">
        <v>3041</v>
      </c>
      <c r="C2436" s="8" t="s">
        <v>562</v>
      </c>
      <c r="D2436" s="8" t="str">
        <f>"9780822373414"</f>
        <v>9780822373414</v>
      </c>
    </row>
    <row r="2437" spans="1:4" x14ac:dyDescent="0.25">
      <c r="A2437" s="7" t="s">
        <v>7874</v>
      </c>
      <c r="B2437" s="8" t="s">
        <v>7875</v>
      </c>
      <c r="C2437" s="8" t="s">
        <v>1865</v>
      </c>
      <c r="D2437" s="8" t="str">
        <f>"9789179290016"</f>
        <v>9789179290016</v>
      </c>
    </row>
    <row r="2438" spans="1:4" ht="30" x14ac:dyDescent="0.25">
      <c r="A2438" s="7" t="s">
        <v>16346</v>
      </c>
      <c r="B2438" s="8" t="s">
        <v>16347</v>
      </c>
      <c r="C2438" s="8" t="s">
        <v>1865</v>
      </c>
      <c r="D2438" s="8" t="str">
        <f>"9789175194387"</f>
        <v>9789175194387</v>
      </c>
    </row>
    <row r="2439" spans="1:4" x14ac:dyDescent="0.25">
      <c r="A2439" s="7" t="s">
        <v>4371</v>
      </c>
      <c r="B2439" s="8" t="s">
        <v>4372</v>
      </c>
      <c r="C2439" s="8" t="s">
        <v>1865</v>
      </c>
      <c r="D2439" s="8" t="str">
        <f>"9789176851074"</f>
        <v>9789176851074</v>
      </c>
    </row>
    <row r="2440" spans="1:4" x14ac:dyDescent="0.25">
      <c r="A2440" s="7" t="s">
        <v>8857</v>
      </c>
      <c r="B2440" s="8" t="s">
        <v>8858</v>
      </c>
      <c r="C2440" s="8" t="s">
        <v>1865</v>
      </c>
      <c r="D2440" s="8" t="str">
        <f>"9789179291471"</f>
        <v>9789179291471</v>
      </c>
    </row>
    <row r="2441" spans="1:4" x14ac:dyDescent="0.25">
      <c r="A2441" s="7" t="s">
        <v>16186</v>
      </c>
      <c r="B2441" s="8" t="s">
        <v>16187</v>
      </c>
      <c r="C2441" s="8" t="s">
        <v>1865</v>
      </c>
      <c r="D2441" s="8" t="str">
        <f>"9789179295868"</f>
        <v>9789179295868</v>
      </c>
    </row>
    <row r="2442" spans="1:4" ht="30" x14ac:dyDescent="0.25">
      <c r="A2442" s="7" t="s">
        <v>8906</v>
      </c>
      <c r="B2442" s="8" t="s">
        <v>8907</v>
      </c>
      <c r="C2442" s="8" t="s">
        <v>2273</v>
      </c>
      <c r="D2442" s="8" t="str">
        <f>"9783030886622"</f>
        <v>9783030886622</v>
      </c>
    </row>
    <row r="2443" spans="1:4" x14ac:dyDescent="0.25">
      <c r="A2443" s="7" t="s">
        <v>3919</v>
      </c>
      <c r="B2443" s="8" t="s">
        <v>3920</v>
      </c>
      <c r="C2443" s="8" t="s">
        <v>355</v>
      </c>
      <c r="D2443" s="8" t="str">
        <f>"9783110452464"</f>
        <v>9783110452464</v>
      </c>
    </row>
    <row r="2444" spans="1:4" x14ac:dyDescent="0.25">
      <c r="A2444" s="7" t="s">
        <v>4682</v>
      </c>
      <c r="B2444" s="8" t="s">
        <v>4683</v>
      </c>
      <c r="C2444" s="8" t="s">
        <v>1865</v>
      </c>
      <c r="D2444" s="8" t="str">
        <f>"9789175190167"</f>
        <v>9789175190167</v>
      </c>
    </row>
    <row r="2445" spans="1:4" x14ac:dyDescent="0.25">
      <c r="A2445" s="7" t="s">
        <v>16024</v>
      </c>
      <c r="B2445" s="8" t="s">
        <v>16025</v>
      </c>
      <c r="C2445" s="8" t="s">
        <v>1865</v>
      </c>
      <c r="D2445" s="8" t="str">
        <f>"9789175199467"</f>
        <v>9789175199467</v>
      </c>
    </row>
    <row r="2446" spans="1:4" ht="30" x14ac:dyDescent="0.25">
      <c r="A2446" s="7" t="s">
        <v>2923</v>
      </c>
      <c r="B2446" s="8" t="s">
        <v>2924</v>
      </c>
      <c r="C2446" s="8" t="s">
        <v>355</v>
      </c>
      <c r="D2446" s="8" t="str">
        <f>"9783110450934"</f>
        <v>9783110450934</v>
      </c>
    </row>
    <row r="2447" spans="1:4" x14ac:dyDescent="0.25">
      <c r="A2447" s="7" t="s">
        <v>15741</v>
      </c>
      <c r="B2447" s="8" t="s">
        <v>3498</v>
      </c>
      <c r="C2447" s="8" t="s">
        <v>1865</v>
      </c>
      <c r="D2447" s="8" t="str">
        <f>"9789175191928"</f>
        <v>9789175191928</v>
      </c>
    </row>
    <row r="2448" spans="1:4" x14ac:dyDescent="0.25">
      <c r="A2448" s="7" t="s">
        <v>8014</v>
      </c>
      <c r="B2448" s="8" t="s">
        <v>8015</v>
      </c>
      <c r="C2448" s="8" t="s">
        <v>1962</v>
      </c>
      <c r="D2448" s="8" t="str">
        <f>"9782759228959"</f>
        <v>9782759228959</v>
      </c>
    </row>
    <row r="2449" spans="1:4" x14ac:dyDescent="0.25">
      <c r="A2449" s="7" t="s">
        <v>12926</v>
      </c>
      <c r="B2449" s="8" t="s">
        <v>12896</v>
      </c>
      <c r="C2449" s="8" t="s">
        <v>12712</v>
      </c>
      <c r="D2449" s="8" t="str">
        <f>"9783428450299"</f>
        <v>9783428450299</v>
      </c>
    </row>
    <row r="2450" spans="1:4" ht="30" x14ac:dyDescent="0.25">
      <c r="A2450" s="7" t="s">
        <v>5921</v>
      </c>
      <c r="B2450" s="8" t="s">
        <v>5922</v>
      </c>
      <c r="C2450" s="8" t="s">
        <v>2273</v>
      </c>
      <c r="D2450" s="8" t="str">
        <f>"9783319398471"</f>
        <v>9783319398471</v>
      </c>
    </row>
    <row r="2451" spans="1:4" ht="30" x14ac:dyDescent="0.25">
      <c r="A2451" s="7" t="s">
        <v>2884</v>
      </c>
      <c r="B2451" s="8" t="s">
        <v>2885</v>
      </c>
      <c r="C2451" s="8" t="s">
        <v>1865</v>
      </c>
      <c r="D2451" s="8" t="str">
        <f>"9789176856857"</f>
        <v>9789176856857</v>
      </c>
    </row>
    <row r="2452" spans="1:4" ht="30" x14ac:dyDescent="0.25">
      <c r="A2452" s="7" t="s">
        <v>2488</v>
      </c>
      <c r="B2452" s="8" t="s">
        <v>2489</v>
      </c>
      <c r="C2452" s="8" t="s">
        <v>1865</v>
      </c>
      <c r="D2452" s="8" t="str">
        <f>"9789176859452"</f>
        <v>9789176859452</v>
      </c>
    </row>
    <row r="2453" spans="1:4" x14ac:dyDescent="0.25">
      <c r="A2453" s="7" t="s">
        <v>5695</v>
      </c>
      <c r="B2453" s="8" t="s">
        <v>5696</v>
      </c>
      <c r="C2453" s="8" t="s">
        <v>2273</v>
      </c>
      <c r="D2453" s="8" t="str">
        <f>"9783319442723"</f>
        <v>9783319442723</v>
      </c>
    </row>
    <row r="2454" spans="1:4" ht="30" x14ac:dyDescent="0.25">
      <c r="A2454" s="7" t="s">
        <v>14382</v>
      </c>
      <c r="B2454" s="8" t="s">
        <v>14383</v>
      </c>
      <c r="C2454" s="8" t="s">
        <v>1865</v>
      </c>
      <c r="D2454" s="8" t="str">
        <f>"9789179294717"</f>
        <v>9789179294717</v>
      </c>
    </row>
    <row r="2455" spans="1:4" x14ac:dyDescent="0.25">
      <c r="A2455" s="7" t="s">
        <v>16336</v>
      </c>
      <c r="B2455" s="8" t="s">
        <v>16337</v>
      </c>
      <c r="C2455" s="8" t="s">
        <v>1865</v>
      </c>
      <c r="D2455" s="8" t="str">
        <f>"9789175197944"</f>
        <v>9789175197944</v>
      </c>
    </row>
    <row r="2456" spans="1:4" x14ac:dyDescent="0.25">
      <c r="A2456" s="7" t="s">
        <v>1232</v>
      </c>
      <c r="B2456" s="8" t="s">
        <v>1233</v>
      </c>
      <c r="C2456" s="8" t="s">
        <v>1224</v>
      </c>
      <c r="D2456" s="8" t="str">
        <f>"9781618111296"</f>
        <v>9781618111296</v>
      </c>
    </row>
    <row r="2457" spans="1:4" x14ac:dyDescent="0.25">
      <c r="A2457" s="7" t="s">
        <v>15739</v>
      </c>
      <c r="B2457" s="8" t="s">
        <v>15740</v>
      </c>
      <c r="C2457" s="8" t="s">
        <v>1865</v>
      </c>
      <c r="D2457" s="8" t="str">
        <f>"9789175192819"</f>
        <v>9789175192819</v>
      </c>
    </row>
    <row r="2458" spans="1:4" x14ac:dyDescent="0.25">
      <c r="A2458" s="7" t="s">
        <v>5014</v>
      </c>
      <c r="B2458" s="8" t="s">
        <v>5015</v>
      </c>
      <c r="C2458" s="8" t="s">
        <v>355</v>
      </c>
      <c r="D2458" s="8" t="str">
        <f>"9783110563016"</f>
        <v>9783110563016</v>
      </c>
    </row>
    <row r="2459" spans="1:4" ht="30" x14ac:dyDescent="0.25">
      <c r="A2459" s="7" t="s">
        <v>14110</v>
      </c>
      <c r="B2459" s="8" t="s">
        <v>14112</v>
      </c>
      <c r="C2459" s="8" t="s">
        <v>14111</v>
      </c>
      <c r="D2459" s="8" t="str">
        <f>"9781463236496"</f>
        <v>9781463236496</v>
      </c>
    </row>
    <row r="2460" spans="1:4" ht="30" x14ac:dyDescent="0.25">
      <c r="A2460" s="7" t="s">
        <v>15252</v>
      </c>
      <c r="B2460" s="8" t="s">
        <v>15253</v>
      </c>
      <c r="C2460" s="8" t="s">
        <v>1865</v>
      </c>
      <c r="D2460" s="8" t="str">
        <f>"9789176853535"</f>
        <v>9789176853535</v>
      </c>
    </row>
    <row r="2461" spans="1:4" x14ac:dyDescent="0.25">
      <c r="A2461" s="7" t="s">
        <v>11697</v>
      </c>
      <c r="B2461" s="8" t="s">
        <v>7194</v>
      </c>
      <c r="C2461" s="8" t="s">
        <v>355</v>
      </c>
      <c r="D2461" s="8" t="str">
        <f>"9783110684834"</f>
        <v>9783110684834</v>
      </c>
    </row>
    <row r="2462" spans="1:4" x14ac:dyDescent="0.25">
      <c r="A2462" s="7" t="s">
        <v>11698</v>
      </c>
      <c r="B2462" s="8" t="s">
        <v>11699</v>
      </c>
      <c r="C2462" s="8" t="s">
        <v>355</v>
      </c>
      <c r="D2462" s="8" t="str">
        <f>"9783110664959"</f>
        <v>9783110664959</v>
      </c>
    </row>
    <row r="2463" spans="1:4" x14ac:dyDescent="0.25">
      <c r="A2463" s="7" t="s">
        <v>4946</v>
      </c>
      <c r="B2463" s="8" t="s">
        <v>4947</v>
      </c>
      <c r="C2463" s="8" t="s">
        <v>1879</v>
      </c>
      <c r="D2463" s="8" t="str">
        <f>"9781783748471"</f>
        <v>9781783748471</v>
      </c>
    </row>
    <row r="2464" spans="1:4" x14ac:dyDescent="0.25">
      <c r="A2464" s="7" t="s">
        <v>6213</v>
      </c>
      <c r="B2464" s="8" t="s">
        <v>6214</v>
      </c>
      <c r="C2464" s="8" t="s">
        <v>2273</v>
      </c>
      <c r="D2464" s="8" t="str">
        <f>"9783319656335"</f>
        <v>9783319656335</v>
      </c>
    </row>
    <row r="2465" spans="1:4" ht="30" x14ac:dyDescent="0.25">
      <c r="A2465" s="7" t="s">
        <v>7800</v>
      </c>
      <c r="B2465" s="8" t="s">
        <v>7801</v>
      </c>
      <c r="C2465" s="8" t="s">
        <v>2273</v>
      </c>
      <c r="D2465" s="8" t="str">
        <f>"9783030735692"</f>
        <v>9783030735692</v>
      </c>
    </row>
    <row r="2466" spans="1:4" ht="30" x14ac:dyDescent="0.25">
      <c r="A2466" s="7" t="s">
        <v>6201</v>
      </c>
      <c r="B2466" s="8" t="s">
        <v>6202</v>
      </c>
      <c r="C2466" s="8" t="s">
        <v>5107</v>
      </c>
      <c r="D2466" s="8" t="str">
        <f>"9784431558224"</f>
        <v>9784431558224</v>
      </c>
    </row>
    <row r="2467" spans="1:4" x14ac:dyDescent="0.25">
      <c r="A2467" s="7" t="s">
        <v>6769</v>
      </c>
      <c r="B2467" s="8" t="s">
        <v>6770</v>
      </c>
      <c r="C2467" s="8" t="s">
        <v>1036</v>
      </c>
      <c r="D2467" s="8" t="str">
        <f>"9789027259929"</f>
        <v>9789027259929</v>
      </c>
    </row>
    <row r="2468" spans="1:4" x14ac:dyDescent="0.25">
      <c r="A2468" s="7" t="s">
        <v>6819</v>
      </c>
      <c r="B2468" s="8" t="s">
        <v>6820</v>
      </c>
      <c r="C2468" s="8" t="s">
        <v>1962</v>
      </c>
      <c r="D2468" s="8" t="str">
        <f>"9782759232826"</f>
        <v>9782759232826</v>
      </c>
    </row>
    <row r="2469" spans="1:4" x14ac:dyDescent="0.25">
      <c r="A2469" s="7" t="s">
        <v>8022</v>
      </c>
      <c r="B2469" s="8" t="s">
        <v>8023</v>
      </c>
      <c r="C2469" s="8" t="s">
        <v>1962</v>
      </c>
      <c r="D2469" s="8" t="str">
        <f>"9782759233229"</f>
        <v>9782759233229</v>
      </c>
    </row>
    <row r="2470" spans="1:4" ht="30" x14ac:dyDescent="0.25">
      <c r="A2470" s="7" t="s">
        <v>11577</v>
      </c>
      <c r="B2470" s="8" t="s">
        <v>11578</v>
      </c>
      <c r="C2470" s="8" t="s">
        <v>316</v>
      </c>
      <c r="D2470" s="8" t="str">
        <f>"9783111698281"</f>
        <v>9783111698281</v>
      </c>
    </row>
    <row r="2471" spans="1:4" x14ac:dyDescent="0.25">
      <c r="A2471" s="7" t="s">
        <v>11016</v>
      </c>
      <c r="B2471" s="8" t="s">
        <v>11017</v>
      </c>
      <c r="C2471" s="8" t="s">
        <v>1879</v>
      </c>
      <c r="D2471" s="8" t="str">
        <f>"9781800643161"</f>
        <v>9781800643161</v>
      </c>
    </row>
    <row r="2472" spans="1:4" ht="30" x14ac:dyDescent="0.25">
      <c r="A2472" s="7" t="s">
        <v>5313</v>
      </c>
      <c r="B2472" s="8" t="s">
        <v>5314</v>
      </c>
      <c r="C2472" s="8" t="s">
        <v>2273</v>
      </c>
      <c r="D2472" s="8" t="str">
        <f>"9783319038650"</f>
        <v>9783319038650</v>
      </c>
    </row>
    <row r="2473" spans="1:4" x14ac:dyDescent="0.25">
      <c r="A2473" s="7" t="s">
        <v>4501</v>
      </c>
      <c r="B2473" s="8" t="s">
        <v>4502</v>
      </c>
      <c r="C2473" s="8" t="s">
        <v>562</v>
      </c>
      <c r="D2473" s="8" t="str">
        <f>"9781478004400"</f>
        <v>9781478004400</v>
      </c>
    </row>
    <row r="2474" spans="1:4" x14ac:dyDescent="0.25">
      <c r="A2474" s="7" t="s">
        <v>15578</v>
      </c>
      <c r="B2474" s="8" t="s">
        <v>15579</v>
      </c>
      <c r="C2474" s="8" t="s">
        <v>1865</v>
      </c>
      <c r="D2474" s="8" t="str">
        <f>"9789175196046"</f>
        <v>9789175196046</v>
      </c>
    </row>
    <row r="2475" spans="1:4" ht="30" x14ac:dyDescent="0.25">
      <c r="A2475" s="7" t="s">
        <v>3702</v>
      </c>
      <c r="B2475" s="8" t="s">
        <v>3703</v>
      </c>
      <c r="C2475" s="8" t="s">
        <v>1345</v>
      </c>
      <c r="D2475" s="8" t="str">
        <f>"9783737601092"</f>
        <v>9783737601092</v>
      </c>
    </row>
    <row r="2476" spans="1:4" ht="30" x14ac:dyDescent="0.25">
      <c r="A2476" s="7" t="s">
        <v>1367</v>
      </c>
      <c r="B2476" s="8" t="s">
        <v>1368</v>
      </c>
      <c r="C2476" s="8" t="s">
        <v>1345</v>
      </c>
      <c r="D2476" s="8" t="str">
        <f>"9783862190850"</f>
        <v>9783862190850</v>
      </c>
    </row>
    <row r="2477" spans="1:4" ht="30" x14ac:dyDescent="0.25">
      <c r="A2477" s="7" t="s">
        <v>11057</v>
      </c>
      <c r="B2477" s="8" t="s">
        <v>11058</v>
      </c>
      <c r="C2477" s="8" t="s">
        <v>6704</v>
      </c>
      <c r="D2477" s="8" t="str">
        <f>"9780472901722"</f>
        <v>9780472901722</v>
      </c>
    </row>
    <row r="2478" spans="1:4" x14ac:dyDescent="0.25">
      <c r="A2478" s="7" t="s">
        <v>1930</v>
      </c>
      <c r="B2478" s="8" t="s">
        <v>1931</v>
      </c>
      <c r="C2478" s="8" t="s">
        <v>1879</v>
      </c>
      <c r="D2478" s="8" t="str">
        <f>"9781906924799"</f>
        <v>9781906924799</v>
      </c>
    </row>
    <row r="2479" spans="1:4" ht="30" x14ac:dyDescent="0.25">
      <c r="A2479" s="7" t="s">
        <v>5834</v>
      </c>
      <c r="B2479" s="8" t="s">
        <v>5835</v>
      </c>
      <c r="C2479" s="8" t="s">
        <v>2273</v>
      </c>
      <c r="D2479" s="8" t="str">
        <f>"9783319191683"</f>
        <v>9783319191683</v>
      </c>
    </row>
    <row r="2480" spans="1:4" x14ac:dyDescent="0.25">
      <c r="A2480" s="7" t="s">
        <v>14540</v>
      </c>
      <c r="B2480" s="8" t="s">
        <v>8699</v>
      </c>
      <c r="C2480" s="8" t="s">
        <v>1865</v>
      </c>
      <c r="D2480" s="8" t="str">
        <f>"9789179298524"</f>
        <v>9789179298524</v>
      </c>
    </row>
    <row r="2481" spans="1:4" x14ac:dyDescent="0.25">
      <c r="A2481" s="7" t="s">
        <v>8722</v>
      </c>
      <c r="B2481" s="8" t="s">
        <v>8723</v>
      </c>
      <c r="C2481" s="8" t="s">
        <v>329</v>
      </c>
      <c r="D2481" s="8" t="str">
        <f>"9789048552801"</f>
        <v>9789048552801</v>
      </c>
    </row>
    <row r="2482" spans="1:4" ht="30" x14ac:dyDescent="0.25">
      <c r="A2482" s="7" t="s">
        <v>5081</v>
      </c>
      <c r="B2482" s="8" t="s">
        <v>70</v>
      </c>
      <c r="C2482" s="8" t="s">
        <v>2273</v>
      </c>
      <c r="D2482" s="8" t="str">
        <f>"9783030458430"</f>
        <v>9783030458430</v>
      </c>
    </row>
    <row r="2483" spans="1:4" x14ac:dyDescent="0.25">
      <c r="A2483" s="7" t="s">
        <v>16170</v>
      </c>
      <c r="B2483" s="8" t="s">
        <v>16171</v>
      </c>
      <c r="C2483" s="8" t="s">
        <v>1865</v>
      </c>
      <c r="D2483" s="8" t="str">
        <f>"9789185831968"</f>
        <v>9789185831968</v>
      </c>
    </row>
    <row r="2484" spans="1:4" x14ac:dyDescent="0.25">
      <c r="A2484" s="7" t="s">
        <v>14512</v>
      </c>
      <c r="B2484" s="8" t="s">
        <v>14513</v>
      </c>
      <c r="C2484" s="8" t="s">
        <v>1865</v>
      </c>
      <c r="D2484" s="8" t="str">
        <f>"9789179292119"</f>
        <v>9789179292119</v>
      </c>
    </row>
    <row r="2485" spans="1:4" x14ac:dyDescent="0.25">
      <c r="A2485" s="7" t="s">
        <v>9308</v>
      </c>
      <c r="B2485" s="8" t="s">
        <v>9309</v>
      </c>
      <c r="C2485" s="8" t="s">
        <v>9256</v>
      </c>
      <c r="D2485" s="8" t="str">
        <f>"9788021094802"</f>
        <v>9788021094802</v>
      </c>
    </row>
    <row r="2486" spans="1:4" ht="45" x14ac:dyDescent="0.25">
      <c r="A2486" s="7" t="s">
        <v>13304</v>
      </c>
      <c r="B2486" s="8" t="s">
        <v>13297</v>
      </c>
      <c r="C2486" s="8" t="s">
        <v>12712</v>
      </c>
      <c r="D2486" s="8" t="str">
        <f>"9783428574636"</f>
        <v>9783428574636</v>
      </c>
    </row>
    <row r="2487" spans="1:4" x14ac:dyDescent="0.25">
      <c r="A2487" s="7" t="s">
        <v>5610</v>
      </c>
      <c r="B2487" s="8" t="s">
        <v>5495</v>
      </c>
      <c r="C2487" s="8" t="s">
        <v>2273</v>
      </c>
      <c r="D2487" s="8" t="str">
        <f>"9783030579272"</f>
        <v>9783030579272</v>
      </c>
    </row>
    <row r="2488" spans="1:4" ht="30" x14ac:dyDescent="0.25">
      <c r="A2488" s="7" t="s">
        <v>5856</v>
      </c>
      <c r="B2488" s="8" t="s">
        <v>5775</v>
      </c>
      <c r="C2488" s="8" t="s">
        <v>4245</v>
      </c>
      <c r="D2488" s="8" t="str">
        <f>"9789811065590"</f>
        <v>9789811065590</v>
      </c>
    </row>
    <row r="2489" spans="1:4" x14ac:dyDescent="0.25">
      <c r="A2489" s="7" t="s">
        <v>9092</v>
      </c>
      <c r="B2489" s="8" t="s">
        <v>9093</v>
      </c>
      <c r="C2489" s="8" t="s">
        <v>2273</v>
      </c>
      <c r="D2489" s="8" t="str">
        <f>"9783030936549"</f>
        <v>9783030936549</v>
      </c>
    </row>
    <row r="2490" spans="1:4" ht="30" x14ac:dyDescent="0.25">
      <c r="A2490" s="7" t="s">
        <v>11201</v>
      </c>
      <c r="B2490" s="8" t="s">
        <v>11202</v>
      </c>
      <c r="C2490" s="8" t="s">
        <v>355</v>
      </c>
      <c r="D2490" s="8" t="str">
        <f>"9783110741124"</f>
        <v>9783110741124</v>
      </c>
    </row>
    <row r="2491" spans="1:4" x14ac:dyDescent="0.25">
      <c r="A2491" s="7" t="s">
        <v>11049</v>
      </c>
      <c r="B2491" s="8" t="s">
        <v>11050</v>
      </c>
      <c r="C2491" s="8" t="s">
        <v>2785</v>
      </c>
      <c r="D2491" s="8" t="str">
        <f>"9789811916045"</f>
        <v>9789811916045</v>
      </c>
    </row>
    <row r="2492" spans="1:4" ht="30" x14ac:dyDescent="0.25">
      <c r="A2492" s="7" t="s">
        <v>9078</v>
      </c>
      <c r="B2492" s="8" t="s">
        <v>5495</v>
      </c>
      <c r="C2492" s="8" t="s">
        <v>2273</v>
      </c>
      <c r="D2492" s="8" t="str">
        <f>"9783030939519"</f>
        <v>9783030939519</v>
      </c>
    </row>
    <row r="2493" spans="1:4" x14ac:dyDescent="0.25">
      <c r="A2493" s="7" t="s">
        <v>13961</v>
      </c>
      <c r="B2493" s="8" t="s">
        <v>13962</v>
      </c>
      <c r="C2493" s="8" t="s">
        <v>2273</v>
      </c>
      <c r="D2493" s="8" t="str">
        <f>"9783030974602"</f>
        <v>9783030974602</v>
      </c>
    </row>
    <row r="2494" spans="1:4" ht="30" x14ac:dyDescent="0.25">
      <c r="A2494" s="7" t="s">
        <v>5205</v>
      </c>
      <c r="B2494" s="8" t="s">
        <v>5206</v>
      </c>
      <c r="C2494" s="8" t="s">
        <v>1865</v>
      </c>
      <c r="D2494" s="8" t="str">
        <f>"9789179297848"</f>
        <v>9789179297848</v>
      </c>
    </row>
    <row r="2495" spans="1:4" x14ac:dyDescent="0.25">
      <c r="A2495" s="7" t="s">
        <v>13522</v>
      </c>
      <c r="B2495" s="8" t="s">
        <v>13523</v>
      </c>
      <c r="C2495" s="8" t="s">
        <v>2273</v>
      </c>
      <c r="D2495" s="8" t="str">
        <f>"9783031152665"</f>
        <v>9783031152665</v>
      </c>
    </row>
    <row r="2496" spans="1:4" x14ac:dyDescent="0.25">
      <c r="A2496" s="7" t="s">
        <v>4300</v>
      </c>
      <c r="B2496" s="8" t="s">
        <v>4301</v>
      </c>
      <c r="C2496" s="8" t="s">
        <v>1865</v>
      </c>
      <c r="D2496" s="8" t="str">
        <f>"9789176851586"</f>
        <v>9789176851586</v>
      </c>
    </row>
    <row r="2497" spans="1:4" x14ac:dyDescent="0.25">
      <c r="A2497" s="7" t="s">
        <v>915</v>
      </c>
      <c r="B2497" s="8" t="s">
        <v>916</v>
      </c>
      <c r="C2497" s="8" t="s">
        <v>329</v>
      </c>
      <c r="D2497" s="8" t="str">
        <f>"9789048523184"</f>
        <v>9789048523184</v>
      </c>
    </row>
    <row r="2498" spans="1:4" x14ac:dyDescent="0.25">
      <c r="A2498" s="7" t="s">
        <v>8584</v>
      </c>
      <c r="B2498" s="8" t="s">
        <v>8585</v>
      </c>
      <c r="C2498" s="8" t="s">
        <v>2273</v>
      </c>
      <c r="D2498" s="8" t="str">
        <f>"9783030843434"</f>
        <v>9783030843434</v>
      </c>
    </row>
    <row r="2499" spans="1:4" x14ac:dyDescent="0.25">
      <c r="A2499" s="7" t="s">
        <v>986</v>
      </c>
      <c r="B2499" s="8" t="s">
        <v>987</v>
      </c>
      <c r="C2499" s="8" t="s">
        <v>329</v>
      </c>
      <c r="D2499" s="8" t="str">
        <f>"9789048523108"</f>
        <v>9789048523108</v>
      </c>
    </row>
    <row r="2500" spans="1:4" x14ac:dyDescent="0.25">
      <c r="A2500" s="7" t="s">
        <v>11047</v>
      </c>
      <c r="B2500" s="8" t="s">
        <v>11048</v>
      </c>
      <c r="C2500" s="8" t="s">
        <v>2785</v>
      </c>
      <c r="D2500" s="8" t="str">
        <f>"9789811696404"</f>
        <v>9789811696404</v>
      </c>
    </row>
    <row r="2501" spans="1:4" ht="30" x14ac:dyDescent="0.25">
      <c r="A2501" s="7" t="s">
        <v>9418</v>
      </c>
      <c r="B2501" s="8" t="s">
        <v>9419</v>
      </c>
      <c r="C2501" s="8" t="s">
        <v>9256</v>
      </c>
      <c r="D2501" s="8" t="str">
        <f>"9788021098343"</f>
        <v>9788021098343</v>
      </c>
    </row>
    <row r="2502" spans="1:4" x14ac:dyDescent="0.25">
      <c r="A2502" s="7" t="s">
        <v>9416</v>
      </c>
      <c r="B2502" s="8" t="s">
        <v>9378</v>
      </c>
      <c r="C2502" s="8" t="s">
        <v>9256</v>
      </c>
      <c r="D2502" s="8" t="str">
        <f>"9788021098305"</f>
        <v>9788021098305</v>
      </c>
    </row>
    <row r="2503" spans="1:4" x14ac:dyDescent="0.25">
      <c r="A2503" s="7" t="s">
        <v>16272</v>
      </c>
      <c r="B2503" s="8" t="s">
        <v>3510</v>
      </c>
      <c r="C2503" s="8" t="s">
        <v>1865</v>
      </c>
      <c r="D2503" s="8" t="str">
        <f>"9789176858714"</f>
        <v>9789176858714</v>
      </c>
    </row>
    <row r="2504" spans="1:4" x14ac:dyDescent="0.25">
      <c r="A2504" s="7" t="s">
        <v>14905</v>
      </c>
      <c r="B2504" s="8" t="s">
        <v>14906</v>
      </c>
      <c r="C2504" s="8" t="s">
        <v>1865</v>
      </c>
      <c r="D2504" s="8" t="str">
        <f>"9789180750448"</f>
        <v>9789180750448</v>
      </c>
    </row>
    <row r="2505" spans="1:4" ht="30" x14ac:dyDescent="0.25">
      <c r="A2505" s="7" t="s">
        <v>4405</v>
      </c>
      <c r="B2505" s="8" t="s">
        <v>4406</v>
      </c>
      <c r="C2505" s="8" t="s">
        <v>1865</v>
      </c>
      <c r="D2505" s="8" t="str">
        <f>"9789176850916"</f>
        <v>9789176850916</v>
      </c>
    </row>
    <row r="2506" spans="1:4" ht="45" x14ac:dyDescent="0.25">
      <c r="A2506" s="7" t="s">
        <v>1382</v>
      </c>
      <c r="B2506" s="8" t="s">
        <v>1383</v>
      </c>
      <c r="C2506" s="8" t="s">
        <v>1345</v>
      </c>
      <c r="D2506" s="8" t="str">
        <f>"9783899589719"</f>
        <v>9783899589719</v>
      </c>
    </row>
    <row r="2507" spans="1:4" x14ac:dyDescent="0.25">
      <c r="A2507" s="7" t="s">
        <v>9642</v>
      </c>
      <c r="B2507" s="8" t="s">
        <v>9643</v>
      </c>
      <c r="C2507" s="8" t="s">
        <v>1865</v>
      </c>
      <c r="D2507" s="8" t="str">
        <f>"9789179292126"</f>
        <v>9789179292126</v>
      </c>
    </row>
    <row r="2508" spans="1:4" ht="30" x14ac:dyDescent="0.25">
      <c r="A2508" s="7" t="s">
        <v>4111</v>
      </c>
      <c r="B2508" s="8" t="s">
        <v>4112</v>
      </c>
      <c r="C2508" s="8" t="s">
        <v>1865</v>
      </c>
      <c r="D2508" s="8" t="str">
        <f>"9789176852217"</f>
        <v>9789176852217</v>
      </c>
    </row>
    <row r="2509" spans="1:4" ht="30" x14ac:dyDescent="0.25">
      <c r="A2509" s="7" t="s">
        <v>16267</v>
      </c>
      <c r="B2509" s="8" t="s">
        <v>16268</v>
      </c>
      <c r="C2509" s="8" t="s">
        <v>1865</v>
      </c>
      <c r="D2509" s="8" t="str">
        <f>"9789175191843"</f>
        <v>9789175191843</v>
      </c>
    </row>
    <row r="2510" spans="1:4" x14ac:dyDescent="0.25">
      <c r="A2510" s="7" t="s">
        <v>4060</v>
      </c>
      <c r="B2510" s="8" t="s">
        <v>4061</v>
      </c>
      <c r="C2510" s="8" t="s">
        <v>1865</v>
      </c>
      <c r="D2510" s="8" t="str">
        <f>"9789176852712"</f>
        <v>9789176852712</v>
      </c>
    </row>
    <row r="2511" spans="1:4" x14ac:dyDescent="0.25">
      <c r="A2511" s="7" t="s">
        <v>16226</v>
      </c>
      <c r="B2511" s="8" t="s">
        <v>16227</v>
      </c>
      <c r="C2511" s="8" t="s">
        <v>1865</v>
      </c>
      <c r="D2511" s="8" t="str">
        <f>"9789179295462"</f>
        <v>9789179295462</v>
      </c>
    </row>
    <row r="2512" spans="1:4" x14ac:dyDescent="0.25">
      <c r="A2512" s="7" t="s">
        <v>15923</v>
      </c>
      <c r="B2512" s="8" t="s">
        <v>15924</v>
      </c>
      <c r="C2512" s="8" t="s">
        <v>1865</v>
      </c>
      <c r="D2512" s="8" t="str">
        <f>"9789175191782"</f>
        <v>9789175191782</v>
      </c>
    </row>
    <row r="2513" spans="1:4" x14ac:dyDescent="0.25">
      <c r="A2513" s="7" t="s">
        <v>4693</v>
      </c>
      <c r="B2513" s="8" t="s">
        <v>4694</v>
      </c>
      <c r="C2513" s="8" t="s">
        <v>1865</v>
      </c>
      <c r="D2513" s="8" t="str">
        <f>"9789179299934"</f>
        <v>9789179299934</v>
      </c>
    </row>
    <row r="2514" spans="1:4" ht="30" x14ac:dyDescent="0.25">
      <c r="A2514" s="7" t="s">
        <v>13600</v>
      </c>
      <c r="B2514" s="8" t="s">
        <v>13601</v>
      </c>
      <c r="C2514" s="8" t="s">
        <v>5086</v>
      </c>
      <c r="D2514" s="8" t="str">
        <f>"9783658392512"</f>
        <v>9783658392512</v>
      </c>
    </row>
    <row r="2515" spans="1:4" x14ac:dyDescent="0.25">
      <c r="A2515" s="7" t="s">
        <v>15555</v>
      </c>
      <c r="B2515" s="8" t="s">
        <v>15556</v>
      </c>
      <c r="C2515" s="8" t="s">
        <v>1865</v>
      </c>
      <c r="D2515" s="8" t="str">
        <f>"9789179299347"</f>
        <v>9789179299347</v>
      </c>
    </row>
    <row r="2516" spans="1:4" x14ac:dyDescent="0.25">
      <c r="A2516" s="7" t="s">
        <v>15410</v>
      </c>
      <c r="B2516" s="8" t="s">
        <v>3575</v>
      </c>
      <c r="C2516" s="8" t="s">
        <v>1865</v>
      </c>
      <c r="D2516" s="8" t="str">
        <f>"9789176856802"</f>
        <v>9789176856802</v>
      </c>
    </row>
    <row r="2517" spans="1:4" x14ac:dyDescent="0.25">
      <c r="A2517" s="7" t="s">
        <v>3574</v>
      </c>
      <c r="B2517" s="8" t="s">
        <v>3575</v>
      </c>
      <c r="C2517" s="8" t="s">
        <v>1865</v>
      </c>
      <c r="D2517" s="8" t="str">
        <f>"9789176853719"</f>
        <v>9789176853719</v>
      </c>
    </row>
    <row r="2518" spans="1:4" x14ac:dyDescent="0.25">
      <c r="A2518" s="7" t="s">
        <v>2547</v>
      </c>
      <c r="B2518" s="8" t="s">
        <v>2548</v>
      </c>
      <c r="C2518" s="8" t="s">
        <v>1865</v>
      </c>
      <c r="D2518" s="8" t="str">
        <f>"9789176859049"</f>
        <v>9789176859049</v>
      </c>
    </row>
    <row r="2519" spans="1:4" ht="30" x14ac:dyDescent="0.25">
      <c r="A2519" s="7" t="s">
        <v>6119</v>
      </c>
      <c r="B2519" s="8" t="s">
        <v>6120</v>
      </c>
      <c r="C2519" s="8" t="s">
        <v>5484</v>
      </c>
      <c r="D2519" s="8" t="str">
        <f>"9781430259909"</f>
        <v>9781430259909</v>
      </c>
    </row>
    <row r="2520" spans="1:4" x14ac:dyDescent="0.25">
      <c r="A2520" s="7" t="s">
        <v>16005</v>
      </c>
      <c r="B2520" s="8" t="s">
        <v>16006</v>
      </c>
      <c r="C2520" s="8" t="s">
        <v>1865</v>
      </c>
      <c r="D2520" s="8" t="str">
        <f>"9789175194134"</f>
        <v>9789175194134</v>
      </c>
    </row>
    <row r="2521" spans="1:4" ht="30" x14ac:dyDescent="0.25">
      <c r="A2521" s="7" t="s">
        <v>16238</v>
      </c>
      <c r="B2521" s="8" t="s">
        <v>15514</v>
      </c>
      <c r="C2521" s="8" t="s">
        <v>1865</v>
      </c>
      <c r="D2521" s="8" t="str">
        <f>"9789175190839"</f>
        <v>9789175190839</v>
      </c>
    </row>
    <row r="2522" spans="1:4" x14ac:dyDescent="0.25">
      <c r="A2522" s="7" t="s">
        <v>15703</v>
      </c>
      <c r="B2522" s="8" t="s">
        <v>15704</v>
      </c>
      <c r="C2522" s="8" t="s">
        <v>1865</v>
      </c>
      <c r="D2522" s="8" t="str">
        <f>"9789175199726"</f>
        <v>9789175199726</v>
      </c>
    </row>
    <row r="2523" spans="1:4" x14ac:dyDescent="0.25">
      <c r="A2523" s="7" t="s">
        <v>15701</v>
      </c>
      <c r="B2523" s="8" t="s">
        <v>15702</v>
      </c>
      <c r="C2523" s="8" t="s">
        <v>1865</v>
      </c>
      <c r="D2523" s="8" t="str">
        <f>"9789176859919"</f>
        <v>9789176859919</v>
      </c>
    </row>
    <row r="2524" spans="1:4" x14ac:dyDescent="0.25">
      <c r="A2524" s="7" t="s">
        <v>1717</v>
      </c>
      <c r="B2524" s="8" t="s">
        <v>1718</v>
      </c>
      <c r="C2524" s="8" t="s">
        <v>1345</v>
      </c>
      <c r="D2524" s="8" t="str">
        <f>"9783862196357"</f>
        <v>9783862196357</v>
      </c>
    </row>
    <row r="2525" spans="1:4" ht="30" x14ac:dyDescent="0.25">
      <c r="A2525" s="7" t="s">
        <v>3551</v>
      </c>
      <c r="B2525" s="8" t="s">
        <v>3552</v>
      </c>
      <c r="C2525" s="8" t="s">
        <v>1345</v>
      </c>
      <c r="D2525" s="8" t="str">
        <f>"9783737604055"</f>
        <v>9783737604055</v>
      </c>
    </row>
    <row r="2526" spans="1:4" x14ac:dyDescent="0.25">
      <c r="A2526" s="7" t="s">
        <v>12845</v>
      </c>
      <c r="B2526" s="8" t="s">
        <v>12818</v>
      </c>
      <c r="C2526" s="8" t="s">
        <v>12712</v>
      </c>
      <c r="D2526" s="8" t="str">
        <f>"9783428434695"</f>
        <v>9783428434695</v>
      </c>
    </row>
    <row r="2527" spans="1:4" ht="30" x14ac:dyDescent="0.25">
      <c r="A2527" s="7" t="s">
        <v>4618</v>
      </c>
      <c r="B2527" s="8" t="s">
        <v>4619</v>
      </c>
      <c r="C2527" s="8" t="s">
        <v>1865</v>
      </c>
      <c r="D2527" s="8" t="str">
        <f>"9789176850237"</f>
        <v>9789176850237</v>
      </c>
    </row>
    <row r="2528" spans="1:4" ht="30" x14ac:dyDescent="0.25">
      <c r="A2528" s="7" t="s">
        <v>1675</v>
      </c>
      <c r="B2528" s="8" t="s">
        <v>1676</v>
      </c>
      <c r="C2528" s="8" t="s">
        <v>1345</v>
      </c>
      <c r="D2528" s="8" t="str">
        <f>"9783862190553"</f>
        <v>9783862190553</v>
      </c>
    </row>
    <row r="2529" spans="1:4" x14ac:dyDescent="0.25">
      <c r="A2529" s="7" t="s">
        <v>2775</v>
      </c>
      <c r="B2529" s="8" t="s">
        <v>2776</v>
      </c>
      <c r="C2529" s="8" t="s">
        <v>1345</v>
      </c>
      <c r="D2529" s="8" t="str">
        <f>"9783737601658"</f>
        <v>9783737601658</v>
      </c>
    </row>
    <row r="2530" spans="1:4" ht="30" x14ac:dyDescent="0.25">
      <c r="A2530" s="7" t="s">
        <v>1541</v>
      </c>
      <c r="B2530" s="8" t="s">
        <v>1542</v>
      </c>
      <c r="C2530" s="8" t="s">
        <v>1345</v>
      </c>
      <c r="D2530" s="8" t="str">
        <f>"9783862191017"</f>
        <v>9783862191017</v>
      </c>
    </row>
    <row r="2531" spans="1:4" ht="30" x14ac:dyDescent="0.25">
      <c r="A2531" s="7" t="s">
        <v>1521</v>
      </c>
      <c r="B2531" s="8" t="s">
        <v>1522</v>
      </c>
      <c r="C2531" s="8" t="s">
        <v>1345</v>
      </c>
      <c r="D2531" s="8" t="str">
        <f>"9783862192199"</f>
        <v>9783862192199</v>
      </c>
    </row>
    <row r="2532" spans="1:4" ht="30" x14ac:dyDescent="0.25">
      <c r="A2532" s="7" t="s">
        <v>1597</v>
      </c>
      <c r="B2532" s="8" t="s">
        <v>1598</v>
      </c>
      <c r="C2532" s="8" t="s">
        <v>1345</v>
      </c>
      <c r="D2532" s="8" t="str">
        <f>"9783862193691"</f>
        <v>9783862193691</v>
      </c>
    </row>
    <row r="2533" spans="1:4" ht="30" x14ac:dyDescent="0.25">
      <c r="A2533" s="7" t="s">
        <v>6236</v>
      </c>
      <c r="B2533" s="8" t="s">
        <v>6237</v>
      </c>
      <c r="C2533" s="8" t="s">
        <v>5134</v>
      </c>
      <c r="D2533" s="8" t="str">
        <f>"9783662586563"</f>
        <v>9783662586563</v>
      </c>
    </row>
    <row r="2534" spans="1:4" ht="30" x14ac:dyDescent="0.25">
      <c r="A2534" s="7" t="s">
        <v>2227</v>
      </c>
      <c r="B2534" s="8" t="s">
        <v>797</v>
      </c>
      <c r="C2534" s="8" t="s">
        <v>355</v>
      </c>
      <c r="D2534" s="8" t="str">
        <f>"9783486989328"</f>
        <v>9783486989328</v>
      </c>
    </row>
    <row r="2535" spans="1:4" ht="30" x14ac:dyDescent="0.25">
      <c r="A2535" s="7" t="s">
        <v>13052</v>
      </c>
      <c r="B2535" s="8" t="s">
        <v>13049</v>
      </c>
      <c r="C2535" s="8" t="s">
        <v>12712</v>
      </c>
      <c r="D2535" s="8" t="str">
        <f>"9783428554447"</f>
        <v>9783428554447</v>
      </c>
    </row>
    <row r="2536" spans="1:4" x14ac:dyDescent="0.25">
      <c r="A2536" s="7" t="s">
        <v>2309</v>
      </c>
      <c r="B2536" s="8" t="s">
        <v>2310</v>
      </c>
      <c r="C2536" s="8" t="s">
        <v>355</v>
      </c>
      <c r="D2536" s="8" t="str">
        <f>"9783110436730"</f>
        <v>9783110436730</v>
      </c>
    </row>
    <row r="2537" spans="1:4" x14ac:dyDescent="0.25">
      <c r="A2537" s="7" t="s">
        <v>3129</v>
      </c>
      <c r="B2537" s="8" t="s">
        <v>3130</v>
      </c>
      <c r="C2537" s="8" t="s">
        <v>1345</v>
      </c>
      <c r="D2537" s="8" t="str">
        <f>"9783737603096"</f>
        <v>9783737603096</v>
      </c>
    </row>
    <row r="2538" spans="1:4" x14ac:dyDescent="0.25">
      <c r="A2538" s="7" t="s">
        <v>3539</v>
      </c>
      <c r="B2538" s="8" t="s">
        <v>3540</v>
      </c>
      <c r="C2538" s="8" t="s">
        <v>1345</v>
      </c>
      <c r="D2538" s="8" t="str">
        <f>"9783737603973"</f>
        <v>9783737603973</v>
      </c>
    </row>
    <row r="2539" spans="1:4" x14ac:dyDescent="0.25">
      <c r="A2539" s="7" t="s">
        <v>13022</v>
      </c>
      <c r="B2539" s="8" t="s">
        <v>13023</v>
      </c>
      <c r="C2539" s="8" t="s">
        <v>12712</v>
      </c>
      <c r="D2539" s="8" t="str">
        <f>"9783428469406"</f>
        <v>9783428469406</v>
      </c>
    </row>
    <row r="2540" spans="1:4" x14ac:dyDescent="0.25">
      <c r="A2540" s="7" t="s">
        <v>12083</v>
      </c>
      <c r="B2540" s="8" t="s">
        <v>12084</v>
      </c>
      <c r="C2540" s="8" t="s">
        <v>355</v>
      </c>
      <c r="D2540" s="8" t="str">
        <f>"9783110747171"</f>
        <v>9783110747171</v>
      </c>
    </row>
    <row r="2541" spans="1:4" ht="30" x14ac:dyDescent="0.25">
      <c r="A2541" s="7" t="s">
        <v>7542</v>
      </c>
      <c r="B2541" s="8" t="s">
        <v>7543</v>
      </c>
      <c r="C2541" s="8" t="s">
        <v>993</v>
      </c>
      <c r="D2541" s="8" t="str">
        <f>"9783839412411"</f>
        <v>9783839412411</v>
      </c>
    </row>
    <row r="2542" spans="1:4" x14ac:dyDescent="0.25">
      <c r="A2542" s="7" t="s">
        <v>11767</v>
      </c>
      <c r="B2542" s="8" t="s">
        <v>11768</v>
      </c>
      <c r="C2542" s="8" t="s">
        <v>355</v>
      </c>
      <c r="D2542" s="8" t="str">
        <f>"9783111465012"</f>
        <v>9783111465012</v>
      </c>
    </row>
    <row r="2543" spans="1:4" ht="30" x14ac:dyDescent="0.25">
      <c r="A2543" s="7" t="s">
        <v>3537</v>
      </c>
      <c r="B2543" s="8" t="s">
        <v>3538</v>
      </c>
      <c r="C2543" s="8" t="s">
        <v>1345</v>
      </c>
      <c r="D2543" s="8" t="str">
        <f>"9783737604154"</f>
        <v>9783737604154</v>
      </c>
    </row>
    <row r="2544" spans="1:4" x14ac:dyDescent="0.25">
      <c r="A2544" s="7" t="s">
        <v>9676</v>
      </c>
      <c r="B2544" s="8" t="s">
        <v>9677</v>
      </c>
      <c r="C2544" s="8" t="s">
        <v>993</v>
      </c>
      <c r="D2544" s="8" t="str">
        <f>"9783839400999"</f>
        <v>9783839400999</v>
      </c>
    </row>
    <row r="2545" spans="1:4" ht="30" x14ac:dyDescent="0.25">
      <c r="A2545" s="7" t="s">
        <v>1854</v>
      </c>
      <c r="B2545" s="8" t="s">
        <v>1855</v>
      </c>
      <c r="C2545" s="8" t="s">
        <v>1345</v>
      </c>
      <c r="D2545" s="8" t="str">
        <f>"9783862198979"</f>
        <v>9783862198979</v>
      </c>
    </row>
    <row r="2546" spans="1:4" ht="30" x14ac:dyDescent="0.25">
      <c r="A2546" s="7" t="s">
        <v>1380</v>
      </c>
      <c r="B2546" s="8" t="s">
        <v>1381</v>
      </c>
      <c r="C2546" s="8" t="s">
        <v>1345</v>
      </c>
      <c r="D2546" s="8" t="str">
        <f>"9783862190416"</f>
        <v>9783862190416</v>
      </c>
    </row>
    <row r="2547" spans="1:4" ht="30" x14ac:dyDescent="0.25">
      <c r="A2547" s="7" t="s">
        <v>3535</v>
      </c>
      <c r="B2547" s="8" t="s">
        <v>3536</v>
      </c>
      <c r="C2547" s="8" t="s">
        <v>1345</v>
      </c>
      <c r="D2547" s="8" t="str">
        <f>"9783737604116"</f>
        <v>9783737604116</v>
      </c>
    </row>
    <row r="2548" spans="1:4" x14ac:dyDescent="0.25">
      <c r="A2548" s="7" t="s">
        <v>1838</v>
      </c>
      <c r="B2548" s="8" t="s">
        <v>1839</v>
      </c>
      <c r="C2548" s="8" t="s">
        <v>1345</v>
      </c>
      <c r="D2548" s="8" t="str">
        <f>"9783862198597"</f>
        <v>9783862198597</v>
      </c>
    </row>
    <row r="2549" spans="1:4" x14ac:dyDescent="0.25">
      <c r="A2549" s="7" t="s">
        <v>11609</v>
      </c>
      <c r="B2549" s="8" t="s">
        <v>11610</v>
      </c>
      <c r="C2549" s="8" t="s">
        <v>355</v>
      </c>
      <c r="D2549" s="8" t="str">
        <f>"9783111621098"</f>
        <v>9783111621098</v>
      </c>
    </row>
    <row r="2550" spans="1:4" ht="30" x14ac:dyDescent="0.25">
      <c r="A2550" s="7" t="s">
        <v>10551</v>
      </c>
      <c r="B2550" s="8" t="s">
        <v>10552</v>
      </c>
      <c r="C2550" s="8" t="s">
        <v>993</v>
      </c>
      <c r="D2550" s="8" t="str">
        <f>"9783839459706"</f>
        <v>9783839459706</v>
      </c>
    </row>
    <row r="2551" spans="1:4" x14ac:dyDescent="0.25">
      <c r="A2551" s="7" t="s">
        <v>8183</v>
      </c>
      <c r="B2551" s="8" t="s">
        <v>8184</v>
      </c>
      <c r="C2551" s="8" t="s">
        <v>993</v>
      </c>
      <c r="D2551" s="8" t="str">
        <f>"9783839448953"</f>
        <v>9783839448953</v>
      </c>
    </row>
    <row r="2552" spans="1:4" ht="60" x14ac:dyDescent="0.25">
      <c r="A2552" s="7" t="s">
        <v>13364</v>
      </c>
      <c r="B2552" s="8" t="s">
        <v>13335</v>
      </c>
      <c r="C2552" s="8" t="s">
        <v>12712</v>
      </c>
      <c r="D2552" s="8" t="str">
        <f>"9783428575282"</f>
        <v>9783428575282</v>
      </c>
    </row>
    <row r="2553" spans="1:4" ht="45" x14ac:dyDescent="0.25">
      <c r="A2553" s="7" t="s">
        <v>13305</v>
      </c>
      <c r="B2553" s="8" t="s">
        <v>13297</v>
      </c>
      <c r="C2553" s="8" t="s">
        <v>12712</v>
      </c>
      <c r="D2553" s="8" t="str">
        <f>"9783428574643"</f>
        <v>9783428574643</v>
      </c>
    </row>
    <row r="2554" spans="1:4" ht="30" x14ac:dyDescent="0.25">
      <c r="A2554" s="7" t="s">
        <v>12872</v>
      </c>
      <c r="B2554" s="8" t="s">
        <v>12746</v>
      </c>
      <c r="C2554" s="8" t="s">
        <v>12712</v>
      </c>
      <c r="D2554" s="8" t="str">
        <f>"9783428441471"</f>
        <v>9783428441471</v>
      </c>
    </row>
    <row r="2555" spans="1:4" x14ac:dyDescent="0.25">
      <c r="A2555" s="7" t="s">
        <v>13011</v>
      </c>
      <c r="B2555" s="8" t="s">
        <v>12972</v>
      </c>
      <c r="C2555" s="8" t="s">
        <v>12712</v>
      </c>
      <c r="D2555" s="8" t="str">
        <f>"9783428466955"</f>
        <v>9783428466955</v>
      </c>
    </row>
    <row r="2556" spans="1:4" x14ac:dyDescent="0.25">
      <c r="A2556" s="7" t="s">
        <v>12876</v>
      </c>
      <c r="B2556" s="8" t="s">
        <v>12720</v>
      </c>
      <c r="C2556" s="8" t="s">
        <v>12712</v>
      </c>
      <c r="D2556" s="8" t="str">
        <f>"9783428441648"</f>
        <v>9783428441648</v>
      </c>
    </row>
    <row r="2557" spans="1:4" x14ac:dyDescent="0.25">
      <c r="A2557" s="7" t="s">
        <v>11407</v>
      </c>
      <c r="B2557" s="8" t="s">
        <v>11408</v>
      </c>
      <c r="C2557" s="8" t="s">
        <v>355</v>
      </c>
      <c r="D2557" s="8" t="str">
        <f>"9783486774801"</f>
        <v>9783486774801</v>
      </c>
    </row>
    <row r="2558" spans="1:4" x14ac:dyDescent="0.25">
      <c r="A2558" s="7" t="s">
        <v>11914</v>
      </c>
      <c r="B2558" s="8" t="s">
        <v>11915</v>
      </c>
      <c r="C2558" s="8" t="s">
        <v>355</v>
      </c>
      <c r="D2558" s="8" t="str">
        <f>"9783110753707"</f>
        <v>9783110753707</v>
      </c>
    </row>
    <row r="2559" spans="1:4" ht="30" x14ac:dyDescent="0.25">
      <c r="A2559" s="7" t="s">
        <v>1736</v>
      </c>
      <c r="B2559" s="8" t="s">
        <v>1737</v>
      </c>
      <c r="C2559" s="8" t="s">
        <v>1345</v>
      </c>
      <c r="D2559" s="8" t="str">
        <f>"9783862193851"</f>
        <v>9783862193851</v>
      </c>
    </row>
    <row r="2560" spans="1:4" x14ac:dyDescent="0.25">
      <c r="A2560" s="7" t="s">
        <v>12771</v>
      </c>
      <c r="B2560" s="8" t="s">
        <v>12772</v>
      </c>
      <c r="C2560" s="8" t="s">
        <v>12712</v>
      </c>
      <c r="D2560" s="8" t="str">
        <f>"9783428417858"</f>
        <v>9783428417858</v>
      </c>
    </row>
    <row r="2561" spans="1:4" ht="45" x14ac:dyDescent="0.25">
      <c r="A2561" s="7" t="s">
        <v>13174</v>
      </c>
      <c r="B2561" s="8" t="s">
        <v>191</v>
      </c>
      <c r="C2561" s="8" t="s">
        <v>12712</v>
      </c>
      <c r="D2561" s="8" t="str">
        <f>"9783428573363"</f>
        <v>9783428573363</v>
      </c>
    </row>
    <row r="2562" spans="1:4" x14ac:dyDescent="0.25">
      <c r="A2562" s="7" t="s">
        <v>14060</v>
      </c>
      <c r="B2562" s="8" t="s">
        <v>14061</v>
      </c>
      <c r="C2562" s="8" t="s">
        <v>13997</v>
      </c>
      <c r="D2562" s="8" t="str">
        <f>"9789568416911"</f>
        <v>9789568416911</v>
      </c>
    </row>
    <row r="2563" spans="1:4" x14ac:dyDescent="0.25">
      <c r="A2563" s="7" t="s">
        <v>1423</v>
      </c>
      <c r="B2563" s="8" t="s">
        <v>1424</v>
      </c>
      <c r="C2563" s="8" t="s">
        <v>1345</v>
      </c>
      <c r="D2563" s="8" t="str">
        <f>"9783862191475"</f>
        <v>9783862191475</v>
      </c>
    </row>
    <row r="2564" spans="1:4" x14ac:dyDescent="0.25">
      <c r="A2564" s="7" t="s">
        <v>13660</v>
      </c>
      <c r="B2564" s="8" t="s">
        <v>13661</v>
      </c>
      <c r="C2564" s="8" t="s">
        <v>2273</v>
      </c>
      <c r="D2564" s="8" t="str">
        <f>"9783031072895"</f>
        <v>9783031072895</v>
      </c>
    </row>
    <row r="2565" spans="1:4" ht="30" x14ac:dyDescent="0.25">
      <c r="A2565" s="7" t="s">
        <v>14042</v>
      </c>
      <c r="B2565" s="8" t="s">
        <v>14043</v>
      </c>
      <c r="C2565" s="8" t="s">
        <v>13997</v>
      </c>
      <c r="D2565" s="8" t="str">
        <f>"9789568416478"</f>
        <v>9789568416478</v>
      </c>
    </row>
    <row r="2566" spans="1:4" x14ac:dyDescent="0.25">
      <c r="A2566" s="7" t="s">
        <v>14066</v>
      </c>
      <c r="B2566" s="8" t="s">
        <v>14015</v>
      </c>
      <c r="C2566" s="8" t="s">
        <v>13997</v>
      </c>
      <c r="D2566" s="8" t="str">
        <f>"9789568416997"</f>
        <v>9789568416997</v>
      </c>
    </row>
    <row r="2567" spans="1:4" ht="30" x14ac:dyDescent="0.25">
      <c r="A2567" s="7" t="s">
        <v>12037</v>
      </c>
      <c r="B2567" s="8" t="s">
        <v>12038</v>
      </c>
      <c r="C2567" s="8" t="s">
        <v>355</v>
      </c>
      <c r="D2567" s="8" t="str">
        <f>"9783110766851"</f>
        <v>9783110766851</v>
      </c>
    </row>
    <row r="2568" spans="1:4" ht="30" x14ac:dyDescent="0.25">
      <c r="A2568" s="7" t="s">
        <v>13554</v>
      </c>
      <c r="B2568" s="8" t="s">
        <v>13555</v>
      </c>
      <c r="C2568" s="8" t="s">
        <v>5086</v>
      </c>
      <c r="D2568" s="8" t="str">
        <f>"9783658382155"</f>
        <v>9783658382155</v>
      </c>
    </row>
    <row r="2569" spans="1:4" x14ac:dyDescent="0.25">
      <c r="A2569" s="7" t="s">
        <v>9608</v>
      </c>
      <c r="B2569" s="8" t="s">
        <v>9609</v>
      </c>
      <c r="C2569" s="8" t="s">
        <v>9602</v>
      </c>
      <c r="D2569" s="8" t="str">
        <f>"9781787440579"</f>
        <v>9781787440579</v>
      </c>
    </row>
    <row r="2570" spans="1:4" x14ac:dyDescent="0.25">
      <c r="A2570" s="7" t="s">
        <v>4729</v>
      </c>
      <c r="B2570" s="8" t="s">
        <v>4730</v>
      </c>
      <c r="C2570" s="8" t="s">
        <v>1865</v>
      </c>
      <c r="D2570" s="8" t="str">
        <f>"9789179299583"</f>
        <v>9789179299583</v>
      </c>
    </row>
    <row r="2571" spans="1:4" ht="30" x14ac:dyDescent="0.25">
      <c r="A2571" s="7" t="s">
        <v>14799</v>
      </c>
      <c r="B2571" s="8" t="s">
        <v>14800</v>
      </c>
      <c r="C2571" s="8" t="s">
        <v>1865</v>
      </c>
      <c r="D2571" s="8" t="str">
        <f>"9789179293352"</f>
        <v>9789179293352</v>
      </c>
    </row>
    <row r="2572" spans="1:4" x14ac:dyDescent="0.25">
      <c r="A2572" s="7" t="s">
        <v>4982</v>
      </c>
      <c r="B2572" s="8" t="s">
        <v>4983</v>
      </c>
      <c r="C2572" s="8" t="s">
        <v>1865</v>
      </c>
      <c r="D2572" s="8" t="str">
        <f>"9789179298661"</f>
        <v>9789179298661</v>
      </c>
    </row>
    <row r="2573" spans="1:4" x14ac:dyDescent="0.25">
      <c r="A2573" s="7" t="s">
        <v>2136</v>
      </c>
      <c r="B2573" s="8" t="s">
        <v>2137</v>
      </c>
      <c r="C2573" s="8" t="s">
        <v>1865</v>
      </c>
      <c r="D2573" s="8" t="str">
        <f>"9789175190334"</f>
        <v>9789175190334</v>
      </c>
    </row>
    <row r="2574" spans="1:4" x14ac:dyDescent="0.25">
      <c r="A2574" s="7" t="s">
        <v>3243</v>
      </c>
      <c r="B2574" s="8" t="s">
        <v>3244</v>
      </c>
      <c r="C2574" s="8" t="s">
        <v>1865</v>
      </c>
      <c r="D2574" s="8" t="str">
        <f>"9789176854853"</f>
        <v>9789176854853</v>
      </c>
    </row>
    <row r="2575" spans="1:4" x14ac:dyDescent="0.25">
      <c r="A2575" s="7" t="s">
        <v>16049</v>
      </c>
      <c r="B2575" s="8" t="s">
        <v>16050</v>
      </c>
      <c r="C2575" s="8" t="s">
        <v>1865</v>
      </c>
      <c r="D2575" s="8" t="str">
        <f>"9789175191683"</f>
        <v>9789175191683</v>
      </c>
    </row>
    <row r="2576" spans="1:4" x14ac:dyDescent="0.25">
      <c r="A2576" s="7" t="s">
        <v>16172</v>
      </c>
      <c r="B2576" s="8" t="s">
        <v>16173</v>
      </c>
      <c r="C2576" s="8" t="s">
        <v>1865</v>
      </c>
      <c r="D2576" s="8" t="str">
        <f>"9789175198163"</f>
        <v>9789175198163</v>
      </c>
    </row>
    <row r="2577" spans="1:4" x14ac:dyDescent="0.25">
      <c r="A2577" s="7" t="s">
        <v>3598</v>
      </c>
      <c r="B2577" s="8" t="s">
        <v>3599</v>
      </c>
      <c r="C2577" s="8" t="s">
        <v>1865</v>
      </c>
      <c r="D2577" s="8" t="str">
        <f>"9789176853498"</f>
        <v>9789176853498</v>
      </c>
    </row>
    <row r="2578" spans="1:4" x14ac:dyDescent="0.25">
      <c r="A2578" s="7" t="s">
        <v>15366</v>
      </c>
      <c r="B2578" s="8" t="s">
        <v>15367</v>
      </c>
      <c r="C2578" s="8" t="s">
        <v>1865</v>
      </c>
      <c r="D2578" s="8" t="str">
        <f>"9789175193403"</f>
        <v>9789175193403</v>
      </c>
    </row>
    <row r="2579" spans="1:4" x14ac:dyDescent="0.25">
      <c r="A2579" s="7" t="s">
        <v>15821</v>
      </c>
      <c r="B2579" s="8" t="s">
        <v>15822</v>
      </c>
      <c r="C2579" s="8" t="s">
        <v>1865</v>
      </c>
      <c r="D2579" s="8" t="str">
        <f>"9789176859506"</f>
        <v>9789176859506</v>
      </c>
    </row>
    <row r="2580" spans="1:4" x14ac:dyDescent="0.25">
      <c r="A2580" s="7" t="s">
        <v>3416</v>
      </c>
      <c r="B2580" s="8"/>
      <c r="C2580" s="8"/>
      <c r="D2580" s="8"/>
    </row>
    <row r="2581" spans="1:4" x14ac:dyDescent="0.25">
      <c r="A2581" s="7" t="s">
        <v>4894</v>
      </c>
      <c r="B2581" s="8" t="s">
        <v>4895</v>
      </c>
      <c r="C2581" s="8" t="s">
        <v>1865</v>
      </c>
      <c r="D2581" s="8" t="str">
        <f>"9789179298852"</f>
        <v>9789179298852</v>
      </c>
    </row>
    <row r="2582" spans="1:4" ht="30" x14ac:dyDescent="0.25">
      <c r="A2582" s="7" t="s">
        <v>12654</v>
      </c>
      <c r="B2582" s="8" t="s">
        <v>7337</v>
      </c>
      <c r="C2582" s="8" t="s">
        <v>2273</v>
      </c>
      <c r="D2582" s="8" t="str">
        <f>"9783031159114"</f>
        <v>9783031159114</v>
      </c>
    </row>
    <row r="2583" spans="1:4" x14ac:dyDescent="0.25">
      <c r="A2583" s="7" t="s">
        <v>3620</v>
      </c>
      <c r="B2583" s="8" t="s">
        <v>3621</v>
      </c>
      <c r="C2583" s="8" t="s">
        <v>1865</v>
      </c>
      <c r="D2583" s="8" t="str">
        <f>"9789176853351"</f>
        <v>9789176853351</v>
      </c>
    </row>
    <row r="2584" spans="1:4" x14ac:dyDescent="0.25">
      <c r="A2584" s="7" t="s">
        <v>11904</v>
      </c>
      <c r="B2584" s="8" t="s">
        <v>11905</v>
      </c>
      <c r="C2584" s="8" t="s">
        <v>355</v>
      </c>
      <c r="D2584" s="8" t="str">
        <f>"9783111571881"</f>
        <v>9783111571881</v>
      </c>
    </row>
    <row r="2585" spans="1:4" x14ac:dyDescent="0.25">
      <c r="A2585" s="7" t="s">
        <v>4538</v>
      </c>
      <c r="B2585" s="8" t="s">
        <v>4539</v>
      </c>
      <c r="C2585" s="8" t="s">
        <v>1865</v>
      </c>
      <c r="D2585" s="8" t="str">
        <f>"9789176850282"</f>
        <v>9789176850282</v>
      </c>
    </row>
    <row r="2586" spans="1:4" x14ac:dyDescent="0.25">
      <c r="A2586" s="7" t="s">
        <v>11466</v>
      </c>
      <c r="B2586" s="8" t="s">
        <v>11467</v>
      </c>
      <c r="C2586" s="8" t="s">
        <v>355</v>
      </c>
      <c r="D2586" s="8" t="str">
        <f>"9783110730937"</f>
        <v>9783110730937</v>
      </c>
    </row>
    <row r="2587" spans="1:4" x14ac:dyDescent="0.25">
      <c r="A2587" s="7" t="s">
        <v>11255</v>
      </c>
      <c r="B2587" s="8" t="s">
        <v>11256</v>
      </c>
      <c r="C2587" s="8" t="s">
        <v>355</v>
      </c>
      <c r="D2587" s="8" t="str">
        <f>"9783111702506"</f>
        <v>9783111702506</v>
      </c>
    </row>
    <row r="2588" spans="1:4" x14ac:dyDescent="0.25">
      <c r="A2588" s="7" t="s">
        <v>1975</v>
      </c>
      <c r="B2588" s="8" t="s">
        <v>1976</v>
      </c>
      <c r="C2588" s="8" t="s">
        <v>1962</v>
      </c>
      <c r="D2588" s="8" t="str">
        <f>"9782759206902"</f>
        <v>9782759206902</v>
      </c>
    </row>
    <row r="2589" spans="1:4" x14ac:dyDescent="0.25">
      <c r="A2589" s="7" t="s">
        <v>3891</v>
      </c>
      <c r="B2589" s="8" t="s">
        <v>3888</v>
      </c>
      <c r="C2589" s="8" t="s">
        <v>355</v>
      </c>
      <c r="D2589" s="8" t="str">
        <f>"9783486992588"</f>
        <v>9783486992588</v>
      </c>
    </row>
    <row r="2590" spans="1:4" x14ac:dyDescent="0.25">
      <c r="A2590" s="7" t="s">
        <v>15991</v>
      </c>
      <c r="B2590" s="8" t="s">
        <v>15992</v>
      </c>
      <c r="C2590" s="8" t="s">
        <v>1865</v>
      </c>
      <c r="D2590" s="8" t="str">
        <f>"9789185831920"</f>
        <v>9789185831920</v>
      </c>
    </row>
    <row r="2591" spans="1:4" x14ac:dyDescent="0.25">
      <c r="A2591" s="7" t="s">
        <v>16275</v>
      </c>
      <c r="B2591" s="8" t="s">
        <v>16276</v>
      </c>
      <c r="C2591" s="8" t="s">
        <v>1865</v>
      </c>
      <c r="D2591" s="8" t="str">
        <f>"9789175190990"</f>
        <v>9789175190990</v>
      </c>
    </row>
    <row r="2592" spans="1:4" ht="30" x14ac:dyDescent="0.25">
      <c r="A2592" s="7" t="s">
        <v>7372</v>
      </c>
      <c r="B2592" s="8" t="s">
        <v>7373</v>
      </c>
      <c r="C2592" s="8" t="s">
        <v>1865</v>
      </c>
      <c r="D2592" s="8" t="str">
        <f>"9789179296056"</f>
        <v>9789179296056</v>
      </c>
    </row>
    <row r="2593" spans="1:4" x14ac:dyDescent="0.25">
      <c r="A2593" s="7" t="s">
        <v>15557</v>
      </c>
      <c r="B2593" s="8"/>
      <c r="C2593" s="8"/>
      <c r="D2593" s="8"/>
    </row>
    <row r="2594" spans="1:4" x14ac:dyDescent="0.25">
      <c r="A2594" s="7" t="s">
        <v>6412</v>
      </c>
      <c r="B2594" s="8" t="s">
        <v>6413</v>
      </c>
      <c r="C2594" s="8" t="s">
        <v>562</v>
      </c>
      <c r="D2594" s="8" t="str">
        <f>"9781478012504"</f>
        <v>9781478012504</v>
      </c>
    </row>
    <row r="2595" spans="1:4" x14ac:dyDescent="0.25">
      <c r="A2595" s="7" t="s">
        <v>5904</v>
      </c>
      <c r="B2595" s="8" t="s">
        <v>5905</v>
      </c>
      <c r="C2595" s="8" t="s">
        <v>5484</v>
      </c>
      <c r="D2595" s="8" t="str">
        <f>"9781484200704"</f>
        <v>9781484200704</v>
      </c>
    </row>
    <row r="2596" spans="1:4" ht="30" x14ac:dyDescent="0.25">
      <c r="A2596" s="7" t="s">
        <v>6455</v>
      </c>
      <c r="B2596" s="8" t="s">
        <v>6456</v>
      </c>
      <c r="C2596" s="8" t="s">
        <v>2273</v>
      </c>
      <c r="D2596" s="8" t="str">
        <f>"9783030609108"</f>
        <v>9783030609108</v>
      </c>
    </row>
    <row r="2597" spans="1:4" ht="30" x14ac:dyDescent="0.25">
      <c r="A2597" s="7" t="s">
        <v>4455</v>
      </c>
      <c r="B2597" s="8" t="s">
        <v>4456</v>
      </c>
      <c r="C2597" s="8" t="s">
        <v>1865</v>
      </c>
      <c r="D2597" s="8" t="str">
        <f>"9789176850657"</f>
        <v>9789176850657</v>
      </c>
    </row>
    <row r="2598" spans="1:4" x14ac:dyDescent="0.25">
      <c r="A2598" s="7" t="s">
        <v>2927</v>
      </c>
      <c r="B2598" s="8" t="s">
        <v>2928</v>
      </c>
      <c r="C2598" s="8" t="s">
        <v>1865</v>
      </c>
      <c r="D2598" s="8" t="str">
        <f>"9789176856260"</f>
        <v>9789176856260</v>
      </c>
    </row>
    <row r="2599" spans="1:4" ht="30" x14ac:dyDescent="0.25">
      <c r="A2599" s="7" t="s">
        <v>16406</v>
      </c>
      <c r="B2599" s="8" t="s">
        <v>16407</v>
      </c>
      <c r="C2599" s="8" t="s">
        <v>329</v>
      </c>
      <c r="D2599" s="8" t="str">
        <f>"9789400600119"</f>
        <v>9789400600119</v>
      </c>
    </row>
    <row r="2600" spans="1:4" x14ac:dyDescent="0.25">
      <c r="A2600" s="7" t="s">
        <v>7401</v>
      </c>
      <c r="B2600" s="8" t="s">
        <v>2564</v>
      </c>
      <c r="C2600" s="8" t="s">
        <v>562</v>
      </c>
      <c r="D2600" s="8" t="str">
        <f>"9781478013112"</f>
        <v>9781478013112</v>
      </c>
    </row>
    <row r="2601" spans="1:4" x14ac:dyDescent="0.25">
      <c r="A2601" s="7" t="s">
        <v>3854</v>
      </c>
      <c r="B2601" s="8" t="s">
        <v>3855</v>
      </c>
      <c r="C2601" s="8" t="s">
        <v>355</v>
      </c>
      <c r="D2601" s="8" t="str">
        <f>"9783110517323"</f>
        <v>9783110517323</v>
      </c>
    </row>
    <row r="2602" spans="1:4" x14ac:dyDescent="0.25">
      <c r="A2602" s="7" t="s">
        <v>2658</v>
      </c>
      <c r="B2602" s="8" t="s">
        <v>113</v>
      </c>
      <c r="C2602" s="8" t="s">
        <v>1962</v>
      </c>
      <c r="D2602" s="8" t="str">
        <f>"9782759224913"</f>
        <v>9782759224913</v>
      </c>
    </row>
    <row r="2603" spans="1:4" x14ac:dyDescent="0.25">
      <c r="A2603" s="7" t="s">
        <v>8001</v>
      </c>
      <c r="B2603" s="8" t="s">
        <v>113</v>
      </c>
      <c r="C2603" s="8" t="s">
        <v>1962</v>
      </c>
      <c r="D2603" s="8" t="str">
        <f>"9782759227723"</f>
        <v>9782759227723</v>
      </c>
    </row>
    <row r="2604" spans="1:4" x14ac:dyDescent="0.25">
      <c r="A2604" s="7" t="s">
        <v>7592</v>
      </c>
      <c r="B2604" s="8" t="s">
        <v>7593</v>
      </c>
      <c r="C2604" s="8" t="s">
        <v>993</v>
      </c>
      <c r="D2604" s="8" t="str">
        <f>"9783839415962"</f>
        <v>9783839415962</v>
      </c>
    </row>
    <row r="2605" spans="1:4" x14ac:dyDescent="0.25">
      <c r="A2605" s="7" t="s">
        <v>1025</v>
      </c>
      <c r="B2605" s="8" t="s">
        <v>1026</v>
      </c>
      <c r="C2605" s="8" t="s">
        <v>329</v>
      </c>
      <c r="D2605" s="8" t="str">
        <f>"9789048522019"</f>
        <v>9789048522019</v>
      </c>
    </row>
    <row r="2606" spans="1:4" x14ac:dyDescent="0.25">
      <c r="A2606" s="7" t="s">
        <v>12431</v>
      </c>
      <c r="B2606" s="8" t="s">
        <v>12432</v>
      </c>
      <c r="C2606" s="8" t="s">
        <v>2273</v>
      </c>
      <c r="D2606" s="8" t="str">
        <f>"9783031071270"</f>
        <v>9783031071270</v>
      </c>
    </row>
    <row r="2607" spans="1:4" ht="30" x14ac:dyDescent="0.25">
      <c r="A2607" s="7" t="s">
        <v>7885</v>
      </c>
      <c r="B2607" s="8" t="s">
        <v>7886</v>
      </c>
      <c r="C2607" s="8" t="s">
        <v>5214</v>
      </c>
      <c r="D2607" s="8" t="str">
        <f>"9789402420869"</f>
        <v>9789402420869</v>
      </c>
    </row>
    <row r="2608" spans="1:4" x14ac:dyDescent="0.25">
      <c r="A2608" s="7" t="s">
        <v>9525</v>
      </c>
      <c r="B2608" s="8" t="s">
        <v>9526</v>
      </c>
      <c r="C2608" s="8" t="s">
        <v>355</v>
      </c>
      <c r="D2608" s="8" t="str">
        <f>"9788366675391"</f>
        <v>9788366675391</v>
      </c>
    </row>
    <row r="2609" spans="1:4" x14ac:dyDescent="0.25">
      <c r="A2609" s="7" t="s">
        <v>16109</v>
      </c>
      <c r="B2609" s="8" t="s">
        <v>6940</v>
      </c>
      <c r="C2609" s="8" t="s">
        <v>1865</v>
      </c>
      <c r="D2609" s="8" t="str">
        <f>"9789176850923"</f>
        <v>9789176850923</v>
      </c>
    </row>
    <row r="2610" spans="1:4" x14ac:dyDescent="0.25">
      <c r="A2610" s="7" t="s">
        <v>11232</v>
      </c>
      <c r="B2610" s="8" t="s">
        <v>7250</v>
      </c>
      <c r="C2610" s="8" t="s">
        <v>355</v>
      </c>
      <c r="D2610" s="8" t="str">
        <f>"9783110679403"</f>
        <v>9783110679403</v>
      </c>
    </row>
    <row r="2611" spans="1:4" x14ac:dyDescent="0.25">
      <c r="A2611" s="7" t="s">
        <v>498</v>
      </c>
      <c r="B2611" s="8" t="s">
        <v>499</v>
      </c>
      <c r="C2611" s="8" t="s">
        <v>316</v>
      </c>
      <c r="D2611" s="8" t="str">
        <f>"9783110260922"</f>
        <v>9783110260922</v>
      </c>
    </row>
    <row r="2612" spans="1:4" x14ac:dyDescent="0.25">
      <c r="A2612" s="7" t="s">
        <v>12077</v>
      </c>
      <c r="B2612" s="8" t="s">
        <v>12078</v>
      </c>
      <c r="C2612" s="8" t="s">
        <v>355</v>
      </c>
      <c r="D2612" s="8" t="str">
        <f>"9783110784312"</f>
        <v>9783110784312</v>
      </c>
    </row>
    <row r="2613" spans="1:4" ht="30" x14ac:dyDescent="0.25">
      <c r="A2613" s="7" t="s">
        <v>10874</v>
      </c>
      <c r="B2613" s="8" t="s">
        <v>10875</v>
      </c>
      <c r="C2613" s="8" t="s">
        <v>2273</v>
      </c>
      <c r="D2613" s="8" t="str">
        <f>"9783030947477"</f>
        <v>9783030947477</v>
      </c>
    </row>
    <row r="2614" spans="1:4" x14ac:dyDescent="0.25">
      <c r="A2614" s="7" t="s">
        <v>9710</v>
      </c>
      <c r="B2614" s="8" t="s">
        <v>9711</v>
      </c>
      <c r="C2614" s="8" t="s">
        <v>993</v>
      </c>
      <c r="D2614" s="8" t="str">
        <f>"9783839402351"</f>
        <v>9783839402351</v>
      </c>
    </row>
    <row r="2615" spans="1:4" ht="30" x14ac:dyDescent="0.25">
      <c r="A2615" s="7" t="s">
        <v>12451</v>
      </c>
      <c r="B2615" s="8" t="s">
        <v>5033</v>
      </c>
      <c r="C2615" s="8" t="s">
        <v>355</v>
      </c>
      <c r="D2615" s="8" t="str">
        <f>"9783110731590"</f>
        <v>9783110731590</v>
      </c>
    </row>
    <row r="2616" spans="1:4" ht="30" x14ac:dyDescent="0.25">
      <c r="A2616" s="7" t="s">
        <v>7000</v>
      </c>
      <c r="B2616" s="8" t="s">
        <v>7001</v>
      </c>
      <c r="C2616" s="8" t="s">
        <v>355</v>
      </c>
      <c r="D2616" s="8" t="str">
        <f>"9783110657746"</f>
        <v>9783110657746</v>
      </c>
    </row>
    <row r="2617" spans="1:4" x14ac:dyDescent="0.25">
      <c r="A2617" s="7" t="s">
        <v>8762</v>
      </c>
      <c r="B2617" s="8" t="s">
        <v>8763</v>
      </c>
      <c r="C2617" s="8" t="s">
        <v>2273</v>
      </c>
      <c r="D2617" s="8" t="str">
        <f>"9783030847173"</f>
        <v>9783030847173</v>
      </c>
    </row>
    <row r="2618" spans="1:4" x14ac:dyDescent="0.25">
      <c r="A2618" s="7" t="s">
        <v>628</v>
      </c>
      <c r="B2618" s="8" t="s">
        <v>629</v>
      </c>
      <c r="C2618" s="8" t="s">
        <v>562</v>
      </c>
      <c r="D2618" s="8" t="str">
        <f>"9780822394396"</f>
        <v>9780822394396</v>
      </c>
    </row>
    <row r="2619" spans="1:4" x14ac:dyDescent="0.25">
      <c r="A2619" s="7" t="s">
        <v>6149</v>
      </c>
      <c r="B2619" s="8" t="s">
        <v>6150</v>
      </c>
      <c r="C2619" s="8" t="s">
        <v>2273</v>
      </c>
      <c r="D2619" s="8" t="str">
        <f>"9783319389684"</f>
        <v>9783319389684</v>
      </c>
    </row>
    <row r="2620" spans="1:4" ht="30" x14ac:dyDescent="0.25">
      <c r="A2620" s="7" t="s">
        <v>15434</v>
      </c>
      <c r="B2620" s="8" t="s">
        <v>15435</v>
      </c>
      <c r="C2620" s="8" t="s">
        <v>1865</v>
      </c>
      <c r="D2620" s="8" t="str">
        <f>"9789180750653"</f>
        <v>9789180750653</v>
      </c>
    </row>
    <row r="2621" spans="1:4" x14ac:dyDescent="0.25">
      <c r="A2621" s="7" t="s">
        <v>16154</v>
      </c>
      <c r="B2621" s="8" t="s">
        <v>16155</v>
      </c>
      <c r="C2621" s="8" t="s">
        <v>1865</v>
      </c>
      <c r="D2621" s="8" t="str">
        <f>"9789176858769"</f>
        <v>9789176858769</v>
      </c>
    </row>
    <row r="2622" spans="1:4" ht="45" x14ac:dyDescent="0.25">
      <c r="A2622" s="7" t="s">
        <v>15436</v>
      </c>
      <c r="B2622" s="8" t="s">
        <v>15437</v>
      </c>
      <c r="C2622" s="8" t="s">
        <v>1865</v>
      </c>
      <c r="D2622" s="8" t="str">
        <f>"9789175198286"</f>
        <v>9789175198286</v>
      </c>
    </row>
    <row r="2623" spans="1:4" ht="30" x14ac:dyDescent="0.25">
      <c r="A2623" s="7" t="s">
        <v>15485</v>
      </c>
      <c r="B2623" s="8" t="s">
        <v>15486</v>
      </c>
      <c r="C2623" s="8" t="s">
        <v>1865</v>
      </c>
      <c r="D2623" s="8" t="str">
        <f>"9789185831029"</f>
        <v>9789185831029</v>
      </c>
    </row>
    <row r="2624" spans="1:4" ht="30" x14ac:dyDescent="0.25">
      <c r="A2624" s="7" t="s">
        <v>14038</v>
      </c>
      <c r="B2624" s="8" t="s">
        <v>14039</v>
      </c>
      <c r="C2624" s="8" t="s">
        <v>13997</v>
      </c>
      <c r="D2624" s="8" t="str">
        <f>"9789568416317"</f>
        <v>9789568416317</v>
      </c>
    </row>
    <row r="2625" spans="1:4" ht="30" x14ac:dyDescent="0.25">
      <c r="A2625" s="7" t="s">
        <v>16273</v>
      </c>
      <c r="B2625" s="8" t="s">
        <v>16274</v>
      </c>
      <c r="C2625" s="8" t="s">
        <v>1865</v>
      </c>
      <c r="D2625" s="8" t="str">
        <f>"9789175198736"</f>
        <v>9789175198736</v>
      </c>
    </row>
    <row r="2626" spans="1:4" x14ac:dyDescent="0.25">
      <c r="A2626" s="7" t="s">
        <v>6876</v>
      </c>
      <c r="B2626" s="8" t="s">
        <v>6877</v>
      </c>
      <c r="C2626" s="8" t="s">
        <v>1865</v>
      </c>
      <c r="D2626" s="8" t="str">
        <f>"9789179296704"</f>
        <v>9789179296704</v>
      </c>
    </row>
    <row r="2627" spans="1:4" x14ac:dyDescent="0.25">
      <c r="A2627" s="7" t="s">
        <v>15228</v>
      </c>
      <c r="B2627" s="8" t="s">
        <v>15229</v>
      </c>
      <c r="C2627" s="8" t="s">
        <v>1865</v>
      </c>
      <c r="D2627" s="8" t="str">
        <f>"9789176855614"</f>
        <v>9789176855614</v>
      </c>
    </row>
    <row r="2628" spans="1:4" x14ac:dyDescent="0.25">
      <c r="A2628" s="7" t="s">
        <v>5977</v>
      </c>
      <c r="B2628" s="8" t="s">
        <v>5978</v>
      </c>
      <c r="C2628" s="8" t="s">
        <v>4245</v>
      </c>
      <c r="D2628" s="8" t="str">
        <f>"9789812878267"</f>
        <v>9789812878267</v>
      </c>
    </row>
    <row r="2629" spans="1:4" ht="30" x14ac:dyDescent="0.25">
      <c r="A2629" s="7" t="s">
        <v>15562</v>
      </c>
      <c r="B2629" s="8" t="s">
        <v>3150</v>
      </c>
      <c r="C2629" s="8" t="s">
        <v>1865</v>
      </c>
      <c r="D2629" s="8" t="str">
        <f>"9789175191836"</f>
        <v>9789175191836</v>
      </c>
    </row>
    <row r="2630" spans="1:4" ht="30" x14ac:dyDescent="0.25">
      <c r="A2630" s="7" t="s">
        <v>5112</v>
      </c>
      <c r="B2630" s="8" t="s">
        <v>5113</v>
      </c>
      <c r="C2630" s="8" t="s">
        <v>1865</v>
      </c>
      <c r="D2630" s="8" t="str">
        <f>"9789179298371"</f>
        <v>9789179298371</v>
      </c>
    </row>
    <row r="2631" spans="1:4" x14ac:dyDescent="0.25">
      <c r="A2631" s="7" t="s">
        <v>944</v>
      </c>
      <c r="B2631" s="8" t="s">
        <v>945</v>
      </c>
      <c r="C2631" s="8" t="s">
        <v>355</v>
      </c>
      <c r="D2631" s="8" t="str">
        <f>"9783110410242"</f>
        <v>9783110410242</v>
      </c>
    </row>
    <row r="2632" spans="1:4" x14ac:dyDescent="0.25">
      <c r="A2632" s="7" t="s">
        <v>6088</v>
      </c>
      <c r="B2632" s="8" t="s">
        <v>6089</v>
      </c>
      <c r="C2632" s="8" t="s">
        <v>5134</v>
      </c>
      <c r="D2632" s="8" t="str">
        <f>"9783642404030"</f>
        <v>9783642404030</v>
      </c>
    </row>
    <row r="2633" spans="1:4" x14ac:dyDescent="0.25">
      <c r="A2633" s="7" t="s">
        <v>4575</v>
      </c>
      <c r="B2633" s="8" t="s">
        <v>4576</v>
      </c>
      <c r="C2633" s="8" t="s">
        <v>1865</v>
      </c>
      <c r="D2633" s="8" t="str">
        <f>"9789176850053"</f>
        <v>9789176850053</v>
      </c>
    </row>
    <row r="2634" spans="1:4" ht="30" x14ac:dyDescent="0.25">
      <c r="A2634" s="7" t="s">
        <v>12193</v>
      </c>
      <c r="B2634" s="8" t="s">
        <v>12194</v>
      </c>
      <c r="C2634" s="8" t="s">
        <v>2273</v>
      </c>
      <c r="D2634" s="8" t="str">
        <f>"9783030980801"</f>
        <v>9783030980801</v>
      </c>
    </row>
    <row r="2635" spans="1:4" x14ac:dyDescent="0.25">
      <c r="A2635" s="7" t="s">
        <v>3694</v>
      </c>
      <c r="B2635" s="8" t="s">
        <v>3695</v>
      </c>
      <c r="C2635" s="8" t="s">
        <v>1865</v>
      </c>
      <c r="D2635" s="8" t="str">
        <f>"9789176853191"</f>
        <v>9789176853191</v>
      </c>
    </row>
    <row r="2636" spans="1:4" x14ac:dyDescent="0.25">
      <c r="A2636" s="7" t="s">
        <v>1654</v>
      </c>
      <c r="B2636" s="8" t="s">
        <v>1444</v>
      </c>
      <c r="C2636" s="8" t="s">
        <v>1345</v>
      </c>
      <c r="D2636" s="8" t="str">
        <f>"9783862196135"</f>
        <v>9783862196135</v>
      </c>
    </row>
    <row r="2637" spans="1:4" ht="30" x14ac:dyDescent="0.25">
      <c r="A2637" s="7" t="s">
        <v>1361</v>
      </c>
      <c r="B2637" s="8" t="s">
        <v>1362</v>
      </c>
      <c r="C2637" s="8" t="s">
        <v>1345</v>
      </c>
      <c r="D2637" s="8" t="str">
        <f>""</f>
        <v/>
      </c>
    </row>
    <row r="2638" spans="1:4" ht="30" x14ac:dyDescent="0.25">
      <c r="A2638" s="7" t="s">
        <v>8514</v>
      </c>
      <c r="B2638" s="8" t="s">
        <v>8515</v>
      </c>
      <c r="C2638" s="8" t="s">
        <v>993</v>
      </c>
      <c r="D2638" s="8" t="str">
        <f>"9783839450710"</f>
        <v>9783839450710</v>
      </c>
    </row>
    <row r="2639" spans="1:4" x14ac:dyDescent="0.25">
      <c r="A2639" s="7" t="s">
        <v>4474</v>
      </c>
      <c r="B2639" s="8" t="s">
        <v>4475</v>
      </c>
      <c r="C2639" s="8" t="s">
        <v>562</v>
      </c>
      <c r="D2639" s="8" t="str">
        <f>"9781478004394"</f>
        <v>9781478004394</v>
      </c>
    </row>
    <row r="2640" spans="1:4" x14ac:dyDescent="0.25">
      <c r="A2640" s="7" t="s">
        <v>16338</v>
      </c>
      <c r="B2640" s="8" t="s">
        <v>16339</v>
      </c>
      <c r="C2640" s="8" t="s">
        <v>1865</v>
      </c>
      <c r="D2640" s="8" t="str">
        <f>"9789175197623"</f>
        <v>9789175197623</v>
      </c>
    </row>
    <row r="2641" spans="1:4" x14ac:dyDescent="0.25">
      <c r="A2641" s="7" t="s">
        <v>6821</v>
      </c>
      <c r="B2641" s="8" t="s">
        <v>6822</v>
      </c>
      <c r="C2641" s="8" t="s">
        <v>2273</v>
      </c>
      <c r="D2641" s="8" t="str">
        <f>"9783030639167"</f>
        <v>9783030639167</v>
      </c>
    </row>
    <row r="2642" spans="1:4" x14ac:dyDescent="0.25">
      <c r="A2642" s="7" t="s">
        <v>2442</v>
      </c>
      <c r="B2642" s="8" t="s">
        <v>2443</v>
      </c>
      <c r="C2642" s="8" t="s">
        <v>1865</v>
      </c>
      <c r="D2642" s="8" t="str">
        <f>"9789176859025"</f>
        <v>9789176859025</v>
      </c>
    </row>
    <row r="2643" spans="1:4" ht="30" x14ac:dyDescent="0.25">
      <c r="A2643" s="7" t="s">
        <v>3735</v>
      </c>
      <c r="B2643" s="8" t="s">
        <v>3736</v>
      </c>
      <c r="C2643" s="8" t="s">
        <v>1865</v>
      </c>
      <c r="D2643" s="8" t="str">
        <f>"9789176852897"</f>
        <v>9789176852897</v>
      </c>
    </row>
    <row r="2644" spans="1:4" x14ac:dyDescent="0.25">
      <c r="A2644" s="7" t="s">
        <v>842</v>
      </c>
      <c r="B2644" s="8" t="s">
        <v>843</v>
      </c>
      <c r="C2644" s="8" t="s">
        <v>355</v>
      </c>
      <c r="D2644" s="8" t="str">
        <f>"9783038216506"</f>
        <v>9783038216506</v>
      </c>
    </row>
    <row r="2645" spans="1:4" x14ac:dyDescent="0.25">
      <c r="A2645" s="7" t="s">
        <v>5707</v>
      </c>
      <c r="B2645" s="8" t="s">
        <v>5708</v>
      </c>
      <c r="C2645" s="8" t="s">
        <v>5484</v>
      </c>
      <c r="D2645" s="8" t="str">
        <f>"9781430266389"</f>
        <v>9781430266389</v>
      </c>
    </row>
    <row r="2646" spans="1:4" x14ac:dyDescent="0.25">
      <c r="A2646" s="7" t="s">
        <v>7834</v>
      </c>
      <c r="B2646" s="8" t="s">
        <v>7835</v>
      </c>
      <c r="C2646" s="8" t="s">
        <v>1865</v>
      </c>
      <c r="D2646" s="8" t="str">
        <f>"9789179290160"</f>
        <v>9789179290160</v>
      </c>
    </row>
    <row r="2647" spans="1:4" x14ac:dyDescent="0.25">
      <c r="A2647" s="7" t="s">
        <v>6287</v>
      </c>
      <c r="B2647" s="8" t="s">
        <v>6288</v>
      </c>
      <c r="C2647" s="8" t="s">
        <v>2273</v>
      </c>
      <c r="D2647" s="8" t="str">
        <f>"9783319692999"</f>
        <v>9783319692999</v>
      </c>
    </row>
    <row r="2648" spans="1:4" x14ac:dyDescent="0.25">
      <c r="A2648" s="7" t="s">
        <v>12448</v>
      </c>
      <c r="B2648" s="8" t="s">
        <v>12449</v>
      </c>
      <c r="C2648" s="8" t="s">
        <v>2273</v>
      </c>
      <c r="D2648" s="8" t="str">
        <f>"9783030994327"</f>
        <v>9783030994327</v>
      </c>
    </row>
    <row r="2649" spans="1:4" ht="45" x14ac:dyDescent="0.25">
      <c r="A2649" s="7" t="s">
        <v>4635</v>
      </c>
      <c r="B2649" s="8" t="s">
        <v>4636</v>
      </c>
      <c r="C2649" s="8" t="s">
        <v>1865</v>
      </c>
      <c r="D2649" s="8" t="str">
        <f>"9789176850077"</f>
        <v>9789176850077</v>
      </c>
    </row>
    <row r="2650" spans="1:4" x14ac:dyDescent="0.25">
      <c r="A2650" s="7" t="s">
        <v>9519</v>
      </c>
      <c r="B2650" s="8" t="s">
        <v>9520</v>
      </c>
      <c r="C2650" s="8" t="s">
        <v>4245</v>
      </c>
      <c r="D2650" s="8" t="str">
        <f>"9789811902802"</f>
        <v>9789811902802</v>
      </c>
    </row>
    <row r="2651" spans="1:4" x14ac:dyDescent="0.25">
      <c r="A2651" s="7" t="s">
        <v>2452</v>
      </c>
      <c r="B2651" s="8" t="s">
        <v>2453</v>
      </c>
      <c r="C2651" s="8" t="s">
        <v>1865</v>
      </c>
      <c r="D2651" s="8" t="str">
        <f>"9789176859100"</f>
        <v>9789176859100</v>
      </c>
    </row>
    <row r="2652" spans="1:4" x14ac:dyDescent="0.25">
      <c r="A2652" s="7" t="s">
        <v>3054</v>
      </c>
      <c r="B2652" s="8" t="s">
        <v>3055</v>
      </c>
      <c r="C2652" s="8" t="s">
        <v>562</v>
      </c>
      <c r="D2652" s="8" t="str">
        <f>"9780822373360"</f>
        <v>9780822373360</v>
      </c>
    </row>
    <row r="2653" spans="1:4" x14ac:dyDescent="0.25">
      <c r="A2653" s="7" t="s">
        <v>10628</v>
      </c>
      <c r="B2653" s="8" t="s">
        <v>10629</v>
      </c>
      <c r="C2653" s="8" t="s">
        <v>2273</v>
      </c>
      <c r="D2653" s="8" t="str">
        <f>"9783030886820"</f>
        <v>9783030886820</v>
      </c>
    </row>
    <row r="2654" spans="1:4" x14ac:dyDescent="0.25">
      <c r="A2654" s="7" t="s">
        <v>16081</v>
      </c>
      <c r="B2654" s="8" t="s">
        <v>16082</v>
      </c>
      <c r="C2654" s="8" t="s">
        <v>1865</v>
      </c>
      <c r="D2654" s="8" t="str">
        <f>"9789176856178"</f>
        <v>9789176856178</v>
      </c>
    </row>
    <row r="2655" spans="1:4" ht="30" x14ac:dyDescent="0.25">
      <c r="A2655" s="7" t="s">
        <v>7884</v>
      </c>
      <c r="B2655" s="8" t="s">
        <v>200</v>
      </c>
      <c r="C2655" s="8" t="s">
        <v>2273</v>
      </c>
      <c r="D2655" s="8" t="str">
        <f>"9783030756451"</f>
        <v>9783030756451</v>
      </c>
    </row>
    <row r="2656" spans="1:4" x14ac:dyDescent="0.25">
      <c r="A2656" s="7" t="s">
        <v>4668</v>
      </c>
      <c r="B2656" s="8" t="s">
        <v>4669</v>
      </c>
      <c r="C2656" s="8" t="s">
        <v>1879</v>
      </c>
      <c r="D2656" s="8" t="str">
        <f>"9781783747993"</f>
        <v>9781783747993</v>
      </c>
    </row>
    <row r="2657" spans="1:4" x14ac:dyDescent="0.25">
      <c r="A2657" s="7" t="s">
        <v>14740</v>
      </c>
      <c r="B2657" s="8" t="s">
        <v>14741</v>
      </c>
      <c r="C2657" s="8" t="s">
        <v>1879</v>
      </c>
      <c r="D2657" s="8" t="str">
        <f>"9781800643949"</f>
        <v>9781800643949</v>
      </c>
    </row>
    <row r="2658" spans="1:4" x14ac:dyDescent="0.25">
      <c r="A2658" s="7" t="s">
        <v>6868</v>
      </c>
      <c r="B2658" s="8" t="s">
        <v>6869</v>
      </c>
      <c r="C2658" s="8" t="s">
        <v>1865</v>
      </c>
      <c r="D2658" s="8" t="str">
        <f>"9789179296995"</f>
        <v>9789179296995</v>
      </c>
    </row>
    <row r="2659" spans="1:4" ht="30" x14ac:dyDescent="0.25">
      <c r="A2659" s="7" t="s">
        <v>6078</v>
      </c>
      <c r="B2659" s="8" t="s">
        <v>6079</v>
      </c>
      <c r="C2659" s="8" t="s">
        <v>2273</v>
      </c>
      <c r="D2659" s="8" t="str">
        <f>"9783319911342"</f>
        <v>9783319911342</v>
      </c>
    </row>
    <row r="2660" spans="1:4" x14ac:dyDescent="0.25">
      <c r="A2660" s="7" t="s">
        <v>13562</v>
      </c>
      <c r="B2660" s="8" t="s">
        <v>13563</v>
      </c>
      <c r="C2660" s="8" t="s">
        <v>2273</v>
      </c>
      <c r="D2660" s="8" t="str">
        <f>"9783031045363"</f>
        <v>9783031045363</v>
      </c>
    </row>
    <row r="2661" spans="1:4" ht="30" x14ac:dyDescent="0.25">
      <c r="A2661" s="7" t="s">
        <v>2644</v>
      </c>
      <c r="B2661" s="8" t="s">
        <v>2645</v>
      </c>
      <c r="C2661" s="8" t="s">
        <v>1345</v>
      </c>
      <c r="D2661" s="8" t="str">
        <f>"9783862199693"</f>
        <v>9783862199693</v>
      </c>
    </row>
    <row r="2662" spans="1:4" x14ac:dyDescent="0.25">
      <c r="A2662" s="7" t="s">
        <v>1529</v>
      </c>
      <c r="B2662" s="8" t="s">
        <v>1530</v>
      </c>
      <c r="C2662" s="8" t="s">
        <v>1345</v>
      </c>
      <c r="D2662" s="8" t="str">
        <f>"9783862193790"</f>
        <v>9783862193790</v>
      </c>
    </row>
    <row r="2663" spans="1:4" x14ac:dyDescent="0.25">
      <c r="A2663" s="7" t="s">
        <v>7228</v>
      </c>
      <c r="B2663" s="8" t="s">
        <v>7229</v>
      </c>
      <c r="C2663" s="8" t="s">
        <v>329</v>
      </c>
      <c r="D2663" s="8" t="str">
        <f>"9789048537419"</f>
        <v>9789048537419</v>
      </c>
    </row>
    <row r="2664" spans="1:4" ht="60" x14ac:dyDescent="0.25">
      <c r="A2664" s="7" t="s">
        <v>13156</v>
      </c>
      <c r="B2664" s="8" t="s">
        <v>13157</v>
      </c>
      <c r="C2664" s="8" t="s">
        <v>12712</v>
      </c>
      <c r="D2664" s="8" t="str">
        <f>"9783428573196"</f>
        <v>9783428573196</v>
      </c>
    </row>
    <row r="2665" spans="1:4" ht="60" x14ac:dyDescent="0.25">
      <c r="A2665" s="7" t="s">
        <v>13321</v>
      </c>
      <c r="B2665" s="8" t="s">
        <v>13316</v>
      </c>
      <c r="C2665" s="8" t="s">
        <v>12712</v>
      </c>
      <c r="D2665" s="8" t="str">
        <f>"9783428574803"</f>
        <v>9783428574803</v>
      </c>
    </row>
    <row r="2666" spans="1:4" x14ac:dyDescent="0.25">
      <c r="A2666" s="7" t="s">
        <v>11762</v>
      </c>
      <c r="B2666" s="8" t="s">
        <v>11763</v>
      </c>
      <c r="C2666" s="8" t="s">
        <v>355</v>
      </c>
      <c r="D2666" s="8" t="str">
        <f>"9783486741766"</f>
        <v>9783486741766</v>
      </c>
    </row>
    <row r="2667" spans="1:4" x14ac:dyDescent="0.25">
      <c r="A2667" s="7" t="s">
        <v>4062</v>
      </c>
      <c r="B2667" s="8" t="s">
        <v>4063</v>
      </c>
      <c r="C2667" s="8" t="s">
        <v>329</v>
      </c>
      <c r="D2667" s="8" t="str">
        <f>"9789048537228"</f>
        <v>9789048537228</v>
      </c>
    </row>
    <row r="2668" spans="1:4" x14ac:dyDescent="0.25">
      <c r="A2668" s="7" t="s">
        <v>11364</v>
      </c>
      <c r="B2668" s="8" t="s">
        <v>11365</v>
      </c>
      <c r="C2668" s="8" t="s">
        <v>316</v>
      </c>
      <c r="D2668" s="8" t="str">
        <f>"9783111342498"</f>
        <v>9783111342498</v>
      </c>
    </row>
    <row r="2669" spans="1:4" x14ac:dyDescent="0.25">
      <c r="A2669" s="7" t="s">
        <v>4203</v>
      </c>
      <c r="B2669" s="8" t="s">
        <v>4204</v>
      </c>
      <c r="C2669" s="8" t="s">
        <v>1865</v>
      </c>
      <c r="D2669" s="8" t="str">
        <f>"9789176851821"</f>
        <v>9789176851821</v>
      </c>
    </row>
    <row r="2670" spans="1:4" x14ac:dyDescent="0.25">
      <c r="A2670" s="7" t="s">
        <v>13625</v>
      </c>
      <c r="B2670" s="8" t="s">
        <v>13626</v>
      </c>
      <c r="C2670" s="8" t="s">
        <v>2273</v>
      </c>
      <c r="D2670" s="8" t="str">
        <f>"9783031199042"</f>
        <v>9783031199042</v>
      </c>
    </row>
    <row r="2671" spans="1:4" ht="30" x14ac:dyDescent="0.25">
      <c r="A2671" s="7" t="s">
        <v>16241</v>
      </c>
      <c r="B2671" s="8" t="s">
        <v>16242</v>
      </c>
      <c r="C2671" s="8" t="s">
        <v>1865</v>
      </c>
      <c r="D2671" s="8" t="str">
        <f>"9789175197395"</f>
        <v>9789175197395</v>
      </c>
    </row>
    <row r="2672" spans="1:4" x14ac:dyDescent="0.25">
      <c r="A2672" s="7" t="s">
        <v>2782</v>
      </c>
      <c r="B2672" s="8" t="s">
        <v>2783</v>
      </c>
      <c r="C2672" s="8" t="s">
        <v>1865</v>
      </c>
      <c r="D2672" s="8" t="str">
        <f>"9789176856895"</f>
        <v>9789176856895</v>
      </c>
    </row>
    <row r="2673" spans="1:4" ht="45" x14ac:dyDescent="0.25">
      <c r="A2673" s="7" t="s">
        <v>6391</v>
      </c>
      <c r="B2673" s="8" t="s">
        <v>6392</v>
      </c>
      <c r="C2673" s="8" t="s">
        <v>4245</v>
      </c>
      <c r="D2673" s="8" t="str">
        <f>"9789811580147"</f>
        <v>9789811580147</v>
      </c>
    </row>
    <row r="2674" spans="1:4" x14ac:dyDescent="0.25">
      <c r="A2674" s="7" t="s">
        <v>10369</v>
      </c>
      <c r="B2674" s="8" t="s">
        <v>10370</v>
      </c>
      <c r="C2674" s="8" t="s">
        <v>993</v>
      </c>
      <c r="D2674" s="8" t="str">
        <f>"9783839452776"</f>
        <v>9783839452776</v>
      </c>
    </row>
    <row r="2675" spans="1:4" x14ac:dyDescent="0.25">
      <c r="A2675" s="7" t="s">
        <v>7575</v>
      </c>
      <c r="B2675" s="8" t="s">
        <v>110</v>
      </c>
      <c r="C2675" s="8" t="s">
        <v>993</v>
      </c>
      <c r="D2675" s="8" t="str">
        <f>"9783839417898"</f>
        <v>9783839417898</v>
      </c>
    </row>
    <row r="2676" spans="1:4" x14ac:dyDescent="0.25">
      <c r="A2676" s="7" t="s">
        <v>16156</v>
      </c>
      <c r="B2676" s="8" t="s">
        <v>2740</v>
      </c>
      <c r="C2676" s="8" t="s">
        <v>1865</v>
      </c>
      <c r="D2676" s="8" t="str">
        <f>"9789175194356"</f>
        <v>9789175194356</v>
      </c>
    </row>
    <row r="2677" spans="1:4" x14ac:dyDescent="0.25">
      <c r="A2677" s="7" t="s">
        <v>6677</v>
      </c>
      <c r="B2677" s="8" t="s">
        <v>6678</v>
      </c>
      <c r="C2677" s="8" t="s">
        <v>2273</v>
      </c>
      <c r="D2677" s="8" t="str">
        <f>"9783030636142"</f>
        <v>9783030636142</v>
      </c>
    </row>
    <row r="2678" spans="1:4" x14ac:dyDescent="0.25">
      <c r="A2678" s="7" t="s">
        <v>10041</v>
      </c>
      <c r="B2678" s="8" t="s">
        <v>10042</v>
      </c>
      <c r="C2678" s="8" t="s">
        <v>993</v>
      </c>
      <c r="D2678" s="8" t="str">
        <f>"9783839411513"</f>
        <v>9783839411513</v>
      </c>
    </row>
    <row r="2679" spans="1:4" x14ac:dyDescent="0.25">
      <c r="A2679" s="7" t="s">
        <v>5786</v>
      </c>
      <c r="B2679" s="8" t="s">
        <v>5787</v>
      </c>
      <c r="C2679" s="8" t="s">
        <v>2273</v>
      </c>
      <c r="D2679" s="8" t="str">
        <f>"9783319939353"</f>
        <v>9783319939353</v>
      </c>
    </row>
    <row r="2680" spans="1:4" x14ac:dyDescent="0.25">
      <c r="A2680" s="7" t="s">
        <v>10422</v>
      </c>
      <c r="B2680" s="8" t="s">
        <v>10423</v>
      </c>
      <c r="C2680" s="8" t="s">
        <v>993</v>
      </c>
      <c r="D2680" s="8" t="str">
        <f>"9783839456408"</f>
        <v>9783839456408</v>
      </c>
    </row>
    <row r="2681" spans="1:4" x14ac:dyDescent="0.25">
      <c r="A2681" s="7" t="s">
        <v>12190</v>
      </c>
      <c r="B2681" s="8" t="s">
        <v>7363</v>
      </c>
      <c r="C2681" s="8" t="s">
        <v>2273</v>
      </c>
      <c r="D2681" s="8" t="str">
        <f>"9783031048845"</f>
        <v>9783031048845</v>
      </c>
    </row>
    <row r="2682" spans="1:4" x14ac:dyDescent="0.25">
      <c r="A2682" s="7" t="s">
        <v>7362</v>
      </c>
      <c r="B2682" s="8" t="s">
        <v>7363</v>
      </c>
      <c r="C2682" s="8" t="s">
        <v>2273</v>
      </c>
      <c r="D2682" s="8" t="str">
        <f>"9783030789350"</f>
        <v>9783030789350</v>
      </c>
    </row>
    <row r="2683" spans="1:4" x14ac:dyDescent="0.25">
      <c r="A2683" s="7" t="s">
        <v>14067</v>
      </c>
      <c r="B2683" s="8" t="s">
        <v>7363</v>
      </c>
      <c r="C2683" s="8" t="s">
        <v>2273</v>
      </c>
      <c r="D2683" s="8" t="str">
        <f>"9783031240454"</f>
        <v>9783031240454</v>
      </c>
    </row>
    <row r="2684" spans="1:4" ht="30" x14ac:dyDescent="0.25">
      <c r="A2684" s="7" t="s">
        <v>4603</v>
      </c>
      <c r="B2684" s="8" t="s">
        <v>4604</v>
      </c>
      <c r="C2684" s="8" t="s">
        <v>1345</v>
      </c>
      <c r="D2684" s="8" t="str">
        <f>"9783737607254"</f>
        <v>9783737607254</v>
      </c>
    </row>
    <row r="2685" spans="1:4" x14ac:dyDescent="0.25">
      <c r="A2685" s="7" t="s">
        <v>15392</v>
      </c>
      <c r="B2685" s="8" t="s">
        <v>15393</v>
      </c>
      <c r="C2685" s="8" t="s">
        <v>1865</v>
      </c>
      <c r="D2685" s="8" t="str">
        <f>"9789173939232"</f>
        <v>9789173939232</v>
      </c>
    </row>
    <row r="2686" spans="1:4" x14ac:dyDescent="0.25">
      <c r="A2686" s="7" t="s">
        <v>14497</v>
      </c>
      <c r="B2686" s="8" t="s">
        <v>14498</v>
      </c>
      <c r="C2686" s="8" t="s">
        <v>1865</v>
      </c>
      <c r="D2686" s="8" t="str">
        <f>"9789179291532"</f>
        <v>9789179291532</v>
      </c>
    </row>
    <row r="2687" spans="1:4" ht="30" x14ac:dyDescent="0.25">
      <c r="A2687" s="7" t="s">
        <v>16208</v>
      </c>
      <c r="B2687" s="8" t="s">
        <v>16209</v>
      </c>
      <c r="C2687" s="8" t="s">
        <v>1865</v>
      </c>
      <c r="D2687" s="8" t="str">
        <f>"9789175192635"</f>
        <v>9789175192635</v>
      </c>
    </row>
    <row r="2688" spans="1:4" ht="30" x14ac:dyDescent="0.25">
      <c r="A2688" s="7" t="s">
        <v>13392</v>
      </c>
      <c r="B2688" s="8" t="s">
        <v>13393</v>
      </c>
      <c r="C2688" s="8" t="s">
        <v>12712</v>
      </c>
      <c r="D2688" s="8" t="str">
        <f>"9783428586776"</f>
        <v>9783428586776</v>
      </c>
    </row>
    <row r="2689" spans="1:4" ht="30" x14ac:dyDescent="0.25">
      <c r="A2689" s="7" t="s">
        <v>1683</v>
      </c>
      <c r="B2689" s="8" t="s">
        <v>1684</v>
      </c>
      <c r="C2689" s="8" t="s">
        <v>1345</v>
      </c>
      <c r="D2689" s="8" t="str">
        <f>"9783862192014"</f>
        <v>9783862192014</v>
      </c>
    </row>
    <row r="2690" spans="1:4" ht="30" x14ac:dyDescent="0.25">
      <c r="A2690" s="7" t="s">
        <v>1567</v>
      </c>
      <c r="B2690" s="8" t="s">
        <v>1568</v>
      </c>
      <c r="C2690" s="8" t="s">
        <v>1345</v>
      </c>
      <c r="D2690" s="8" t="str">
        <f>"9783862193097"</f>
        <v>9783862193097</v>
      </c>
    </row>
    <row r="2691" spans="1:4" x14ac:dyDescent="0.25">
      <c r="A2691" s="7" t="s">
        <v>4005</v>
      </c>
      <c r="B2691" s="8" t="s">
        <v>4006</v>
      </c>
      <c r="C2691" s="8" t="s">
        <v>1345</v>
      </c>
      <c r="D2691" s="8" t="str">
        <f>"9783737605076"</f>
        <v>9783737605076</v>
      </c>
    </row>
    <row r="2692" spans="1:4" ht="30" x14ac:dyDescent="0.25">
      <c r="A2692" s="7" t="s">
        <v>3505</v>
      </c>
      <c r="B2692" s="8" t="s">
        <v>3506</v>
      </c>
      <c r="C2692" s="8" t="s">
        <v>1345</v>
      </c>
      <c r="D2692" s="8" t="str">
        <f>"9783737604390"</f>
        <v>9783737604390</v>
      </c>
    </row>
    <row r="2693" spans="1:4" ht="30" x14ac:dyDescent="0.25">
      <c r="A2693" s="7" t="s">
        <v>2304</v>
      </c>
      <c r="B2693" s="8" t="s">
        <v>2305</v>
      </c>
      <c r="C2693" s="8" t="s">
        <v>1345</v>
      </c>
      <c r="D2693" s="8" t="str">
        <f>"9783862198399"</f>
        <v>9783862198399</v>
      </c>
    </row>
    <row r="2694" spans="1:4" x14ac:dyDescent="0.25">
      <c r="A2694" s="7" t="s">
        <v>1723</v>
      </c>
      <c r="B2694" s="8" t="s">
        <v>1724</v>
      </c>
      <c r="C2694" s="8" t="s">
        <v>1345</v>
      </c>
      <c r="D2694" s="8" t="str">
        <f>"9783862196470"</f>
        <v>9783862196470</v>
      </c>
    </row>
    <row r="2695" spans="1:4" ht="30" x14ac:dyDescent="0.25">
      <c r="A2695" s="7" t="s">
        <v>4434</v>
      </c>
      <c r="B2695" s="8" t="s">
        <v>4435</v>
      </c>
      <c r="C2695" s="8" t="s">
        <v>1345</v>
      </c>
      <c r="D2695" s="8" t="str">
        <f>"9783737606530"</f>
        <v>9783737606530</v>
      </c>
    </row>
    <row r="2696" spans="1:4" x14ac:dyDescent="0.25">
      <c r="A2696" s="7" t="s">
        <v>12897</v>
      </c>
      <c r="B2696" s="8" t="s">
        <v>12855</v>
      </c>
      <c r="C2696" s="8" t="s">
        <v>12712</v>
      </c>
      <c r="D2696" s="8" t="str">
        <f>"9783428445400"</f>
        <v>9783428445400</v>
      </c>
    </row>
    <row r="2697" spans="1:4" ht="45" x14ac:dyDescent="0.25">
      <c r="A2697" s="7" t="s">
        <v>1165</v>
      </c>
      <c r="B2697" s="8" t="s">
        <v>1166</v>
      </c>
      <c r="C2697" s="8" t="s">
        <v>316</v>
      </c>
      <c r="D2697" s="8" t="str">
        <f>"9783110888263"</f>
        <v>9783110888263</v>
      </c>
    </row>
    <row r="2698" spans="1:4" ht="45" x14ac:dyDescent="0.25">
      <c r="A2698" s="7" t="s">
        <v>1856</v>
      </c>
      <c r="B2698" s="8" t="s">
        <v>1857</v>
      </c>
      <c r="C2698" s="8" t="s">
        <v>1345</v>
      </c>
      <c r="D2698" s="8" t="str">
        <f>"9783862198856"</f>
        <v>9783862198856</v>
      </c>
    </row>
    <row r="2699" spans="1:4" ht="30" x14ac:dyDescent="0.25">
      <c r="A2699" s="7" t="s">
        <v>12511</v>
      </c>
      <c r="B2699" s="8" t="s">
        <v>12512</v>
      </c>
      <c r="C2699" s="8" t="s">
        <v>5086</v>
      </c>
      <c r="D2699" s="8" t="str">
        <f>"9783658384371"</f>
        <v>9783658384371</v>
      </c>
    </row>
    <row r="2700" spans="1:4" x14ac:dyDescent="0.25">
      <c r="A2700" s="7" t="s">
        <v>12726</v>
      </c>
      <c r="B2700" s="8" t="s">
        <v>12725</v>
      </c>
      <c r="C2700" s="8" t="s">
        <v>12712</v>
      </c>
      <c r="D2700" s="8" t="str">
        <f>"9783428403691"</f>
        <v>9783428403691</v>
      </c>
    </row>
    <row r="2701" spans="1:4" x14ac:dyDescent="0.25">
      <c r="A2701" s="7" t="s">
        <v>12942</v>
      </c>
      <c r="B2701" s="8" t="s">
        <v>12935</v>
      </c>
      <c r="C2701" s="8" t="s">
        <v>12712</v>
      </c>
      <c r="D2701" s="8" t="str">
        <f>"9783428454730"</f>
        <v>9783428454730</v>
      </c>
    </row>
    <row r="2702" spans="1:4" ht="30" x14ac:dyDescent="0.25">
      <c r="A2702" s="7" t="s">
        <v>12922</v>
      </c>
      <c r="B2702" s="8" t="s">
        <v>12903</v>
      </c>
      <c r="C2702" s="8" t="s">
        <v>12712</v>
      </c>
      <c r="D2702" s="8" t="str">
        <f>"9783428449590"</f>
        <v>9783428449590</v>
      </c>
    </row>
    <row r="2703" spans="1:4" x14ac:dyDescent="0.25">
      <c r="A2703" s="7" t="s">
        <v>12975</v>
      </c>
      <c r="B2703" s="8" t="s">
        <v>12935</v>
      </c>
      <c r="C2703" s="8" t="s">
        <v>12712</v>
      </c>
      <c r="D2703" s="8" t="str">
        <f>"9783428459735"</f>
        <v>9783428459735</v>
      </c>
    </row>
    <row r="2704" spans="1:4" ht="30" x14ac:dyDescent="0.25">
      <c r="A2704" s="7" t="s">
        <v>14966</v>
      </c>
      <c r="B2704" s="8" t="s">
        <v>14967</v>
      </c>
      <c r="C2704" s="8" t="s">
        <v>1865</v>
      </c>
      <c r="D2704" s="8" t="str">
        <f>"9789176857588"</f>
        <v>9789176857588</v>
      </c>
    </row>
    <row r="2705" spans="1:4" x14ac:dyDescent="0.25">
      <c r="A2705" s="7" t="s">
        <v>15380</v>
      </c>
      <c r="B2705" s="8" t="s">
        <v>15381</v>
      </c>
      <c r="C2705" s="8" t="s">
        <v>1865</v>
      </c>
      <c r="D2705" s="8" t="str">
        <f>"9789173939133"</f>
        <v>9789173939133</v>
      </c>
    </row>
    <row r="2706" spans="1:4" x14ac:dyDescent="0.25">
      <c r="A2706" s="7" t="s">
        <v>741</v>
      </c>
      <c r="B2706" s="8" t="s">
        <v>742</v>
      </c>
      <c r="C2706" s="8" t="s">
        <v>355</v>
      </c>
      <c r="D2706" s="8" t="str">
        <f>"9788376560144"</f>
        <v>9788376560144</v>
      </c>
    </row>
    <row r="2707" spans="1:4" x14ac:dyDescent="0.25">
      <c r="A2707" s="7" t="s">
        <v>14154</v>
      </c>
      <c r="B2707" s="8" t="s">
        <v>14155</v>
      </c>
      <c r="C2707" s="8" t="s">
        <v>2273</v>
      </c>
      <c r="D2707" s="8" t="str">
        <f>"9783031159046"</f>
        <v>9783031159046</v>
      </c>
    </row>
    <row r="2708" spans="1:4" x14ac:dyDescent="0.25">
      <c r="A2708" s="7" t="s">
        <v>6002</v>
      </c>
      <c r="B2708" s="8" t="s">
        <v>6003</v>
      </c>
      <c r="C2708" s="8" t="s">
        <v>5228</v>
      </c>
      <c r="D2708" s="8" t="str">
        <f>"9781137505729"</f>
        <v>9781137505729</v>
      </c>
    </row>
    <row r="2709" spans="1:4" x14ac:dyDescent="0.25">
      <c r="A2709" s="7" t="s">
        <v>5896</v>
      </c>
      <c r="B2709" s="8" t="s">
        <v>5897</v>
      </c>
      <c r="C2709" s="8" t="s">
        <v>2273</v>
      </c>
      <c r="D2709" s="8" t="str">
        <f>"9783319270067"</f>
        <v>9783319270067</v>
      </c>
    </row>
    <row r="2710" spans="1:4" ht="30" x14ac:dyDescent="0.25">
      <c r="A2710" s="7" t="s">
        <v>5932</v>
      </c>
      <c r="B2710" s="8" t="s">
        <v>5933</v>
      </c>
      <c r="C2710" s="8" t="s">
        <v>5107</v>
      </c>
      <c r="D2710" s="8" t="str">
        <f>"9784431543404"</f>
        <v>9784431543404</v>
      </c>
    </row>
    <row r="2711" spans="1:4" x14ac:dyDescent="0.25">
      <c r="A2711" s="7" t="s">
        <v>10716</v>
      </c>
      <c r="B2711" s="8" t="s">
        <v>1335</v>
      </c>
      <c r="C2711" s="8" t="s">
        <v>1332</v>
      </c>
      <c r="D2711" s="8" t="str">
        <f>"9781789061055"</f>
        <v>9781789061055</v>
      </c>
    </row>
    <row r="2712" spans="1:4" x14ac:dyDescent="0.25">
      <c r="A2712" s="7" t="s">
        <v>1334</v>
      </c>
      <c r="B2712" s="8" t="s">
        <v>1335</v>
      </c>
      <c r="C2712" s="8" t="s">
        <v>1332</v>
      </c>
      <c r="D2712" s="8" t="str">
        <f>"9781780403038"</f>
        <v>9781780403038</v>
      </c>
    </row>
    <row r="2713" spans="1:4" x14ac:dyDescent="0.25">
      <c r="A2713" s="7" t="s">
        <v>10715</v>
      </c>
      <c r="B2713" s="8" t="s">
        <v>1335</v>
      </c>
      <c r="C2713" s="8" t="s">
        <v>1332</v>
      </c>
      <c r="D2713" s="8" t="str">
        <f>"9781789060966"</f>
        <v>9781789060966</v>
      </c>
    </row>
    <row r="2714" spans="1:4" ht="30" x14ac:dyDescent="0.25">
      <c r="A2714" s="7" t="s">
        <v>5595</v>
      </c>
      <c r="B2714" s="8" t="s">
        <v>5596</v>
      </c>
      <c r="C2714" s="8" t="s">
        <v>2273</v>
      </c>
      <c r="D2714" s="8" t="str">
        <f>"9783030626693"</f>
        <v>9783030626693</v>
      </c>
    </row>
    <row r="2715" spans="1:4" x14ac:dyDescent="0.25">
      <c r="A2715" s="7" t="s">
        <v>12175</v>
      </c>
      <c r="B2715" s="8" t="s">
        <v>12176</v>
      </c>
      <c r="C2715" s="8" t="s">
        <v>355</v>
      </c>
      <c r="D2715" s="8" t="str">
        <f>"9783110752205"</f>
        <v>9783110752205</v>
      </c>
    </row>
    <row r="2716" spans="1:4" x14ac:dyDescent="0.25">
      <c r="A2716" s="7" t="s">
        <v>8497</v>
      </c>
      <c r="B2716" s="8" t="s">
        <v>8498</v>
      </c>
      <c r="C2716" s="8" t="s">
        <v>993</v>
      </c>
      <c r="D2716" s="8" t="str">
        <f>"9783839455296"</f>
        <v>9783839455296</v>
      </c>
    </row>
    <row r="2717" spans="1:4" x14ac:dyDescent="0.25">
      <c r="A2717" s="7" t="s">
        <v>1260</v>
      </c>
      <c r="B2717" s="8" t="s">
        <v>1261</v>
      </c>
      <c r="C2717" s="8" t="s">
        <v>1224</v>
      </c>
      <c r="D2717" s="8" t="str">
        <f>"9781618116826"</f>
        <v>9781618116826</v>
      </c>
    </row>
    <row r="2718" spans="1:4" x14ac:dyDescent="0.25">
      <c r="A2718" s="7" t="s">
        <v>3110</v>
      </c>
      <c r="B2718" s="8" t="s">
        <v>3111</v>
      </c>
      <c r="C2718" s="8" t="s">
        <v>1865</v>
      </c>
      <c r="D2718" s="8" t="str">
        <f>"9789176855690"</f>
        <v>9789176855690</v>
      </c>
    </row>
    <row r="2719" spans="1:4" ht="30" x14ac:dyDescent="0.25">
      <c r="A2719" s="7" t="s">
        <v>16367</v>
      </c>
      <c r="B2719" s="8" t="s">
        <v>16368</v>
      </c>
      <c r="C2719" s="8" t="s">
        <v>1865</v>
      </c>
      <c r="D2719" s="8" t="str">
        <f>"9789175199900"</f>
        <v>9789175199900</v>
      </c>
    </row>
    <row r="2720" spans="1:4" ht="30" x14ac:dyDescent="0.25">
      <c r="A2720" s="7" t="s">
        <v>16011</v>
      </c>
      <c r="B2720" s="8" t="s">
        <v>16012</v>
      </c>
      <c r="C2720" s="8" t="s">
        <v>1865</v>
      </c>
      <c r="D2720" s="8" t="str">
        <f>"9789175195384"</f>
        <v>9789175195384</v>
      </c>
    </row>
    <row r="2721" spans="1:4" x14ac:dyDescent="0.25">
      <c r="A2721" s="7" t="s">
        <v>8867</v>
      </c>
      <c r="B2721" s="8" t="s">
        <v>8868</v>
      </c>
      <c r="C2721" s="8" t="s">
        <v>1879</v>
      </c>
      <c r="D2721" s="8" t="str">
        <f>"9781800642867"</f>
        <v>9781800642867</v>
      </c>
    </row>
    <row r="2722" spans="1:4" x14ac:dyDescent="0.25">
      <c r="A2722" s="7" t="s">
        <v>16062</v>
      </c>
      <c r="B2722" s="8" t="s">
        <v>16063</v>
      </c>
      <c r="C2722" s="8" t="s">
        <v>1865</v>
      </c>
      <c r="D2722" s="8" t="str">
        <f>"9789175198934"</f>
        <v>9789175198934</v>
      </c>
    </row>
    <row r="2723" spans="1:4" x14ac:dyDescent="0.25">
      <c r="A2723" s="7" t="s">
        <v>10371</v>
      </c>
      <c r="B2723" s="8" t="s">
        <v>10372</v>
      </c>
      <c r="C2723" s="8" t="s">
        <v>993</v>
      </c>
      <c r="D2723" s="8" t="str">
        <f>"9783839453032"</f>
        <v>9783839453032</v>
      </c>
    </row>
    <row r="2724" spans="1:4" x14ac:dyDescent="0.25">
      <c r="A2724" s="7" t="s">
        <v>8247</v>
      </c>
      <c r="B2724" s="8" t="s">
        <v>8248</v>
      </c>
      <c r="C2724" s="8" t="s">
        <v>993</v>
      </c>
      <c r="D2724" s="8" t="str">
        <f>"9783839451311"</f>
        <v>9783839451311</v>
      </c>
    </row>
    <row r="2725" spans="1:4" ht="30" x14ac:dyDescent="0.25">
      <c r="A2725" s="7" t="s">
        <v>10301</v>
      </c>
      <c r="B2725" s="8" t="s">
        <v>10302</v>
      </c>
      <c r="C2725" s="8" t="s">
        <v>993</v>
      </c>
      <c r="D2725" s="8" t="str">
        <f>"9783839448397"</f>
        <v>9783839448397</v>
      </c>
    </row>
    <row r="2726" spans="1:4" x14ac:dyDescent="0.25">
      <c r="A2726" s="7" t="s">
        <v>8663</v>
      </c>
      <c r="B2726" s="8" t="s">
        <v>8664</v>
      </c>
      <c r="C2726" s="8" t="s">
        <v>1865</v>
      </c>
      <c r="D2726" s="8" t="str">
        <f>"9789179290955"</f>
        <v>9789179290955</v>
      </c>
    </row>
    <row r="2727" spans="1:4" x14ac:dyDescent="0.25">
      <c r="A2727" s="7" t="s">
        <v>14454</v>
      </c>
      <c r="B2727" s="8" t="s">
        <v>14455</v>
      </c>
      <c r="C2727" s="8" t="s">
        <v>1865</v>
      </c>
      <c r="D2727" s="8" t="str">
        <f>"9789179292478"</f>
        <v>9789179292478</v>
      </c>
    </row>
    <row r="2728" spans="1:4" x14ac:dyDescent="0.25">
      <c r="A2728" s="7" t="s">
        <v>15415</v>
      </c>
      <c r="B2728" s="8" t="s">
        <v>15416</v>
      </c>
      <c r="C2728" s="8" t="s">
        <v>1865</v>
      </c>
      <c r="D2728" s="8" t="str">
        <f>"9789180750196"</f>
        <v>9789180750196</v>
      </c>
    </row>
    <row r="2729" spans="1:4" x14ac:dyDescent="0.25">
      <c r="A2729" s="7" t="s">
        <v>14234</v>
      </c>
      <c r="B2729" s="8" t="s">
        <v>14235</v>
      </c>
      <c r="C2729" s="8" t="s">
        <v>9256</v>
      </c>
      <c r="D2729" s="8" t="str">
        <f>"9788028002398"</f>
        <v>9788028002398</v>
      </c>
    </row>
    <row r="2730" spans="1:4" x14ac:dyDescent="0.25">
      <c r="A2730" s="7" t="s">
        <v>373</v>
      </c>
      <c r="B2730" s="8" t="s">
        <v>374</v>
      </c>
      <c r="C2730" s="8" t="s">
        <v>227</v>
      </c>
      <c r="D2730" s="8" t="str">
        <f>"9781847790606"</f>
        <v>9781847790606</v>
      </c>
    </row>
    <row r="2731" spans="1:4" ht="30" x14ac:dyDescent="0.25">
      <c r="A2731" s="7" t="s">
        <v>10197</v>
      </c>
      <c r="B2731" s="8" t="s">
        <v>10198</v>
      </c>
      <c r="C2731" s="8" t="s">
        <v>993</v>
      </c>
      <c r="D2731" s="8" t="str">
        <f>"9783839443767"</f>
        <v>9783839443767</v>
      </c>
    </row>
    <row r="2732" spans="1:4" x14ac:dyDescent="0.25">
      <c r="A2732" s="7" t="s">
        <v>1429</v>
      </c>
      <c r="B2732" s="8" t="s">
        <v>1430</v>
      </c>
      <c r="C2732" s="8" t="s">
        <v>1345</v>
      </c>
      <c r="D2732" s="8" t="str">
        <f>"9783899587418"</f>
        <v>9783899587418</v>
      </c>
    </row>
    <row r="2733" spans="1:4" ht="30" x14ac:dyDescent="0.25">
      <c r="A2733" s="7" t="s">
        <v>9135</v>
      </c>
      <c r="B2733" s="8" t="s">
        <v>9136</v>
      </c>
      <c r="C2733" s="8" t="s">
        <v>2273</v>
      </c>
      <c r="D2733" s="8" t="str">
        <f>"9783030696917"</f>
        <v>9783030696917</v>
      </c>
    </row>
    <row r="2734" spans="1:4" x14ac:dyDescent="0.25">
      <c r="A2734" s="7" t="s">
        <v>6428</v>
      </c>
      <c r="B2734" s="8" t="s">
        <v>6429</v>
      </c>
      <c r="C2734" s="8" t="s">
        <v>2273</v>
      </c>
      <c r="D2734" s="8" t="str">
        <f>"9783030616489"</f>
        <v>9783030616489</v>
      </c>
    </row>
    <row r="2735" spans="1:4" ht="30" x14ac:dyDescent="0.25">
      <c r="A2735" s="7" t="s">
        <v>9988</v>
      </c>
      <c r="B2735" s="8" t="s">
        <v>9989</v>
      </c>
      <c r="C2735" s="8" t="s">
        <v>993</v>
      </c>
      <c r="D2735" s="8" t="str">
        <f>"9783839409466"</f>
        <v>9783839409466</v>
      </c>
    </row>
    <row r="2736" spans="1:4" ht="30" x14ac:dyDescent="0.25">
      <c r="A2736" s="7" t="s">
        <v>8231</v>
      </c>
      <c r="B2736" s="8" t="s">
        <v>8232</v>
      </c>
      <c r="C2736" s="8" t="s">
        <v>993</v>
      </c>
      <c r="D2736" s="8" t="str">
        <f>"9783839457160"</f>
        <v>9783839457160</v>
      </c>
    </row>
    <row r="2737" spans="1:4" x14ac:dyDescent="0.25">
      <c r="A2737" s="7" t="s">
        <v>10175</v>
      </c>
      <c r="B2737" s="8" t="s">
        <v>10176</v>
      </c>
      <c r="C2737" s="8" t="s">
        <v>993</v>
      </c>
      <c r="D2737" s="8" t="str">
        <f>"9783839442388"</f>
        <v>9783839442388</v>
      </c>
    </row>
    <row r="2738" spans="1:4" x14ac:dyDescent="0.25">
      <c r="A2738" s="7" t="s">
        <v>6910</v>
      </c>
      <c r="B2738" s="8" t="s">
        <v>6911</v>
      </c>
      <c r="C2738" s="8" t="s">
        <v>993</v>
      </c>
      <c r="D2738" s="8" t="str">
        <f>"9783839448373"</f>
        <v>9783839448373</v>
      </c>
    </row>
    <row r="2739" spans="1:4" ht="30" x14ac:dyDescent="0.25">
      <c r="A2739" s="7" t="s">
        <v>3606</v>
      </c>
      <c r="B2739" s="8" t="s">
        <v>3607</v>
      </c>
      <c r="C2739" s="8" t="s">
        <v>1345</v>
      </c>
      <c r="D2739" s="8" t="str">
        <f>"9783737603638"</f>
        <v>9783737603638</v>
      </c>
    </row>
    <row r="2740" spans="1:4" x14ac:dyDescent="0.25">
      <c r="A2740" s="7" t="s">
        <v>1617</v>
      </c>
      <c r="B2740" s="8" t="s">
        <v>1618</v>
      </c>
      <c r="C2740" s="8" t="s">
        <v>1345</v>
      </c>
      <c r="D2740" s="8" t="str">
        <f>"9783899589955"</f>
        <v>9783899589955</v>
      </c>
    </row>
    <row r="2741" spans="1:4" x14ac:dyDescent="0.25">
      <c r="A2741" s="7" t="s">
        <v>11881</v>
      </c>
      <c r="B2741" s="8" t="s">
        <v>11882</v>
      </c>
      <c r="C2741" s="8" t="s">
        <v>355</v>
      </c>
      <c r="D2741" s="8" t="str">
        <f>"9783110617832"</f>
        <v>9783110617832</v>
      </c>
    </row>
    <row r="2742" spans="1:4" ht="30" x14ac:dyDescent="0.25">
      <c r="A2742" s="7" t="s">
        <v>1621</v>
      </c>
      <c r="B2742" s="8" t="s">
        <v>1530</v>
      </c>
      <c r="C2742" s="8" t="s">
        <v>1345</v>
      </c>
      <c r="D2742" s="8" t="str">
        <f>"9783862191796"</f>
        <v>9783862191796</v>
      </c>
    </row>
    <row r="2743" spans="1:4" ht="30" x14ac:dyDescent="0.25">
      <c r="A2743" s="7" t="s">
        <v>1040</v>
      </c>
      <c r="B2743" s="8" t="s">
        <v>1041</v>
      </c>
      <c r="C2743" s="8" t="s">
        <v>355</v>
      </c>
      <c r="D2743" s="8" t="str">
        <f>"9783110405033"</f>
        <v>9783110405033</v>
      </c>
    </row>
    <row r="2744" spans="1:4" x14ac:dyDescent="0.25">
      <c r="A2744" s="7" t="s">
        <v>5072</v>
      </c>
      <c r="B2744" s="8" t="s">
        <v>5073</v>
      </c>
      <c r="C2744" s="8" t="s">
        <v>993</v>
      </c>
      <c r="D2744" s="8" t="str">
        <f>"9783839450444"</f>
        <v>9783839450444</v>
      </c>
    </row>
    <row r="2745" spans="1:4" x14ac:dyDescent="0.25">
      <c r="A2745" s="7" t="s">
        <v>11180</v>
      </c>
      <c r="B2745" s="8" t="s">
        <v>11181</v>
      </c>
      <c r="C2745" s="8" t="s">
        <v>355</v>
      </c>
      <c r="D2745" s="8" t="str">
        <f>"9783486767797"</f>
        <v>9783486767797</v>
      </c>
    </row>
    <row r="2746" spans="1:4" x14ac:dyDescent="0.25">
      <c r="A2746" s="7" t="s">
        <v>5070</v>
      </c>
      <c r="B2746" s="8" t="s">
        <v>5071</v>
      </c>
      <c r="C2746" s="8" t="s">
        <v>993</v>
      </c>
      <c r="D2746" s="8" t="str">
        <f>"9783839445150"</f>
        <v>9783839445150</v>
      </c>
    </row>
    <row r="2747" spans="1:4" x14ac:dyDescent="0.25">
      <c r="A2747" s="7" t="s">
        <v>1701</v>
      </c>
      <c r="B2747" s="8" t="s">
        <v>1702</v>
      </c>
      <c r="C2747" s="8" t="s">
        <v>1345</v>
      </c>
      <c r="D2747" s="8" t="str">
        <f>"9783899587456"</f>
        <v>9783899587456</v>
      </c>
    </row>
    <row r="2748" spans="1:4" ht="30" x14ac:dyDescent="0.25">
      <c r="A2748" s="7" t="s">
        <v>1735</v>
      </c>
      <c r="B2748" s="8" t="s">
        <v>1612</v>
      </c>
      <c r="C2748" s="8" t="s">
        <v>1345</v>
      </c>
      <c r="D2748" s="8" t="str">
        <f>"9783862196418"</f>
        <v>9783862196418</v>
      </c>
    </row>
    <row r="2749" spans="1:4" ht="30" x14ac:dyDescent="0.25">
      <c r="A2749" s="7" t="s">
        <v>2602</v>
      </c>
      <c r="B2749" s="8" t="s">
        <v>2603</v>
      </c>
      <c r="C2749" s="8" t="s">
        <v>1345</v>
      </c>
      <c r="D2749" s="8" t="str">
        <f>"9783737600798"</f>
        <v>9783737600798</v>
      </c>
    </row>
    <row r="2750" spans="1:4" ht="45" x14ac:dyDescent="0.25">
      <c r="A2750" s="7" t="s">
        <v>13402</v>
      </c>
      <c r="B2750" s="8" t="s">
        <v>13403</v>
      </c>
      <c r="C2750" s="8" t="s">
        <v>5086</v>
      </c>
      <c r="D2750" s="8" t="str">
        <f>"9783658394875"</f>
        <v>9783658394875</v>
      </c>
    </row>
    <row r="2751" spans="1:4" ht="30" x14ac:dyDescent="0.25">
      <c r="A2751" s="7" t="s">
        <v>13703</v>
      </c>
      <c r="B2751" s="8" t="s">
        <v>13704</v>
      </c>
      <c r="C2751" s="8" t="s">
        <v>993</v>
      </c>
      <c r="D2751" s="8" t="str">
        <f>"9783839462461"</f>
        <v>9783839462461</v>
      </c>
    </row>
    <row r="2752" spans="1:4" x14ac:dyDescent="0.25">
      <c r="A2752" s="7" t="s">
        <v>5605</v>
      </c>
      <c r="B2752" s="8" t="s">
        <v>5606</v>
      </c>
      <c r="C2752" s="8" t="s">
        <v>2273</v>
      </c>
      <c r="D2752" s="8" t="str">
        <f>"9783030586171"</f>
        <v>9783030586171</v>
      </c>
    </row>
    <row r="2753" spans="1:4" x14ac:dyDescent="0.25">
      <c r="A2753" s="7" t="s">
        <v>9239</v>
      </c>
      <c r="B2753" s="8" t="s">
        <v>5606</v>
      </c>
      <c r="C2753" s="8" t="s">
        <v>2273</v>
      </c>
      <c r="D2753" s="8" t="str">
        <f>"9783030831288"</f>
        <v>9783030831288</v>
      </c>
    </row>
    <row r="2754" spans="1:4" x14ac:dyDescent="0.25">
      <c r="A2754" s="7" t="s">
        <v>11751</v>
      </c>
      <c r="B2754" s="8" t="s">
        <v>7250</v>
      </c>
      <c r="C2754" s="8" t="s">
        <v>355</v>
      </c>
      <c r="D2754" s="8" t="str">
        <f>"9783110679410"</f>
        <v>9783110679410</v>
      </c>
    </row>
    <row r="2755" spans="1:4" ht="45" x14ac:dyDescent="0.25">
      <c r="A2755" s="7" t="s">
        <v>2639</v>
      </c>
      <c r="B2755" s="8" t="s">
        <v>2640</v>
      </c>
      <c r="C2755" s="8" t="s">
        <v>1345</v>
      </c>
      <c r="D2755" s="8" t="str">
        <f>"9783737601139"</f>
        <v>9783737601139</v>
      </c>
    </row>
    <row r="2756" spans="1:4" x14ac:dyDescent="0.25">
      <c r="A2756" s="7" t="s">
        <v>3425</v>
      </c>
      <c r="B2756" s="8" t="s">
        <v>3426</v>
      </c>
      <c r="C2756" s="8" t="s">
        <v>1865</v>
      </c>
      <c r="D2756" s="8" t="str">
        <f>"9789176854273"</f>
        <v>9789176854273</v>
      </c>
    </row>
    <row r="2757" spans="1:4" x14ac:dyDescent="0.25">
      <c r="A2757" s="7" t="s">
        <v>6279</v>
      </c>
      <c r="B2757" s="8" t="s">
        <v>6280</v>
      </c>
      <c r="C2757" s="8" t="s">
        <v>2273</v>
      </c>
      <c r="D2757" s="8" t="str">
        <f>"9783319511030"</f>
        <v>9783319511030</v>
      </c>
    </row>
    <row r="2758" spans="1:4" x14ac:dyDescent="0.25">
      <c r="A2758" s="7" t="s">
        <v>885</v>
      </c>
      <c r="B2758" s="8" t="s">
        <v>886</v>
      </c>
      <c r="C2758" s="8" t="s">
        <v>316</v>
      </c>
      <c r="D2758" s="8" t="str">
        <f>"9783110371277"</f>
        <v>9783110371277</v>
      </c>
    </row>
    <row r="2759" spans="1:4" ht="45" x14ac:dyDescent="0.25">
      <c r="A2759" s="7" t="s">
        <v>12904</v>
      </c>
      <c r="B2759" s="8" t="s">
        <v>12905</v>
      </c>
      <c r="C2759" s="8" t="s">
        <v>12712</v>
      </c>
      <c r="D2759" s="8" t="str">
        <f>"9783428447404"</f>
        <v>9783428447404</v>
      </c>
    </row>
    <row r="2760" spans="1:4" ht="30" x14ac:dyDescent="0.25">
      <c r="A2760" s="7" t="s">
        <v>1495</v>
      </c>
      <c r="B2760" s="8" t="s">
        <v>1496</v>
      </c>
      <c r="C2760" s="8" t="s">
        <v>1345</v>
      </c>
      <c r="D2760" s="8" t="str">
        <f>"9783862194773"</f>
        <v>9783862194773</v>
      </c>
    </row>
    <row r="2761" spans="1:4" ht="30" x14ac:dyDescent="0.25">
      <c r="A2761" s="7" t="s">
        <v>4606</v>
      </c>
      <c r="B2761" s="8" t="s">
        <v>4607</v>
      </c>
      <c r="C2761" s="8" t="s">
        <v>1345</v>
      </c>
      <c r="D2761" s="8" t="str">
        <f>"9783737607230"</f>
        <v>9783737607230</v>
      </c>
    </row>
    <row r="2762" spans="1:4" ht="30" x14ac:dyDescent="0.25">
      <c r="A2762" s="7" t="s">
        <v>8882</v>
      </c>
      <c r="B2762" s="8" t="s">
        <v>8883</v>
      </c>
      <c r="C2762" s="8" t="s">
        <v>5086</v>
      </c>
      <c r="D2762" s="8" t="str">
        <f>"9783658362874"</f>
        <v>9783658362874</v>
      </c>
    </row>
    <row r="2763" spans="1:4" ht="30" x14ac:dyDescent="0.25">
      <c r="A2763" s="7" t="s">
        <v>11731</v>
      </c>
      <c r="B2763" s="8" t="s">
        <v>11732</v>
      </c>
      <c r="C2763" s="8" t="s">
        <v>355</v>
      </c>
      <c r="D2763" s="8" t="str">
        <f>"9783110729115"</f>
        <v>9783110729115</v>
      </c>
    </row>
    <row r="2764" spans="1:4" ht="30" x14ac:dyDescent="0.25">
      <c r="A2764" s="7" t="s">
        <v>350</v>
      </c>
      <c r="B2764" s="8" t="s">
        <v>351</v>
      </c>
      <c r="C2764" s="8" t="s">
        <v>316</v>
      </c>
      <c r="D2764" s="8" t="str">
        <f>"9783110210606"</f>
        <v>9783110210606</v>
      </c>
    </row>
    <row r="2765" spans="1:4" ht="45" x14ac:dyDescent="0.25">
      <c r="A2765" s="7" t="s">
        <v>1141</v>
      </c>
      <c r="B2765" s="8" t="s">
        <v>1142</v>
      </c>
      <c r="C2765" s="8" t="s">
        <v>316</v>
      </c>
      <c r="D2765" s="8" t="str">
        <f>"9783110875096"</f>
        <v>9783110875096</v>
      </c>
    </row>
    <row r="2766" spans="1:4" x14ac:dyDescent="0.25">
      <c r="A2766" s="7" t="s">
        <v>6624</v>
      </c>
      <c r="B2766" s="8" t="s">
        <v>6625</v>
      </c>
      <c r="C2766" s="8" t="s">
        <v>2273</v>
      </c>
      <c r="D2766" s="8" t="str">
        <f>"9783030662622"</f>
        <v>9783030662622</v>
      </c>
    </row>
    <row r="2767" spans="1:4" x14ac:dyDescent="0.25">
      <c r="A2767" s="7" t="s">
        <v>12566</v>
      </c>
      <c r="B2767" s="8" t="s">
        <v>12567</v>
      </c>
      <c r="C2767" s="8" t="s">
        <v>1036</v>
      </c>
      <c r="D2767" s="8" t="str">
        <f>"9789027257536"</f>
        <v>9789027257536</v>
      </c>
    </row>
    <row r="2768" spans="1:4" x14ac:dyDescent="0.25">
      <c r="A2768" s="7" t="s">
        <v>2155</v>
      </c>
      <c r="B2768" s="8" t="s">
        <v>2156</v>
      </c>
      <c r="C2768" s="8" t="s">
        <v>1879</v>
      </c>
      <c r="D2768" s="8" t="str">
        <f>"9781783741496"</f>
        <v>9781783741496</v>
      </c>
    </row>
    <row r="2769" spans="1:4" x14ac:dyDescent="0.25">
      <c r="A2769" s="7" t="s">
        <v>2966</v>
      </c>
      <c r="B2769" s="8" t="s">
        <v>1880</v>
      </c>
      <c r="C2769" s="8" t="s">
        <v>1879</v>
      </c>
      <c r="D2769" s="8" t="str">
        <f>"9781783741793"</f>
        <v>9781783741793</v>
      </c>
    </row>
    <row r="2770" spans="1:4" x14ac:dyDescent="0.25">
      <c r="A2770" s="7" t="s">
        <v>2119</v>
      </c>
      <c r="B2770" s="8" t="s">
        <v>2120</v>
      </c>
      <c r="C2770" s="8" t="s">
        <v>1345</v>
      </c>
      <c r="D2770" s="8" t="str">
        <f>"9783737600132"</f>
        <v>9783737600132</v>
      </c>
    </row>
    <row r="2771" spans="1:4" x14ac:dyDescent="0.25">
      <c r="A2771" s="7" t="s">
        <v>14808</v>
      </c>
      <c r="B2771" s="8" t="s">
        <v>14809</v>
      </c>
      <c r="C2771" s="8" t="s">
        <v>1865</v>
      </c>
      <c r="D2771" s="8" t="str">
        <f>"9789175197005"</f>
        <v>9789175197005</v>
      </c>
    </row>
    <row r="2772" spans="1:4" x14ac:dyDescent="0.25">
      <c r="A2772" s="7" t="s">
        <v>4657</v>
      </c>
      <c r="B2772" s="8" t="s">
        <v>1909</v>
      </c>
      <c r="C2772" s="8" t="s">
        <v>1879</v>
      </c>
      <c r="D2772" s="8" t="str">
        <f>"9781783747580"</f>
        <v>9781783747580</v>
      </c>
    </row>
    <row r="2773" spans="1:4" x14ac:dyDescent="0.25">
      <c r="A2773" s="7" t="s">
        <v>11238</v>
      </c>
      <c r="B2773" s="8" t="s">
        <v>11239</v>
      </c>
      <c r="C2773" s="8" t="s">
        <v>316</v>
      </c>
      <c r="D2773" s="8" t="str">
        <f>"9783111562575"</f>
        <v>9783111562575</v>
      </c>
    </row>
    <row r="2774" spans="1:4" x14ac:dyDescent="0.25">
      <c r="A2774" s="7" t="s">
        <v>666</v>
      </c>
      <c r="B2774" s="8" t="s">
        <v>667</v>
      </c>
      <c r="C2774" s="8" t="s">
        <v>316</v>
      </c>
      <c r="D2774" s="8" t="str">
        <f>"9783110330595"</f>
        <v>9783110330595</v>
      </c>
    </row>
    <row r="2775" spans="1:4" ht="30" x14ac:dyDescent="0.25">
      <c r="A2775" s="7" t="s">
        <v>3715</v>
      </c>
      <c r="B2775" s="8" t="s">
        <v>3716</v>
      </c>
      <c r="C2775" s="8" t="s">
        <v>355</v>
      </c>
      <c r="D2775" s="8" t="str">
        <f>"9783110540048"</f>
        <v>9783110540048</v>
      </c>
    </row>
    <row r="2776" spans="1:4" x14ac:dyDescent="0.25">
      <c r="A2776" s="7" t="s">
        <v>9570</v>
      </c>
      <c r="B2776" s="8" t="s">
        <v>9571</v>
      </c>
      <c r="C2776" s="8" t="s">
        <v>4882</v>
      </c>
      <c r="D2776" s="8" t="str">
        <f>"9781786949646"</f>
        <v>9781786949646</v>
      </c>
    </row>
    <row r="2777" spans="1:4" x14ac:dyDescent="0.25">
      <c r="A2777" s="7" t="s">
        <v>6170</v>
      </c>
      <c r="B2777" s="8" t="s">
        <v>6171</v>
      </c>
      <c r="C2777" s="8" t="s">
        <v>5214</v>
      </c>
      <c r="D2777" s="8" t="str">
        <f>"9789401786782"</f>
        <v>9789401786782</v>
      </c>
    </row>
    <row r="2778" spans="1:4" x14ac:dyDescent="0.25">
      <c r="A2778" s="7" t="s">
        <v>12061</v>
      </c>
      <c r="B2778" s="8" t="s">
        <v>12062</v>
      </c>
      <c r="C2778" s="8" t="s">
        <v>355</v>
      </c>
      <c r="D2778" s="8" t="str">
        <f>"9783110756029"</f>
        <v>9783110756029</v>
      </c>
    </row>
    <row r="2779" spans="1:4" x14ac:dyDescent="0.25">
      <c r="A2779" s="7" t="s">
        <v>2022</v>
      </c>
      <c r="B2779" s="8" t="s">
        <v>2023</v>
      </c>
      <c r="C2779" s="8" t="s">
        <v>1962</v>
      </c>
      <c r="D2779" s="8" t="str">
        <f>"9782759206858"</f>
        <v>9782759206858</v>
      </c>
    </row>
    <row r="2780" spans="1:4" x14ac:dyDescent="0.25">
      <c r="A2780" s="7" t="s">
        <v>15608</v>
      </c>
      <c r="B2780" s="8" t="s">
        <v>15609</v>
      </c>
      <c r="C2780" s="8" t="s">
        <v>1865</v>
      </c>
      <c r="D2780" s="8" t="str">
        <f>"9789175198866"</f>
        <v>9789175198866</v>
      </c>
    </row>
    <row r="2781" spans="1:4" x14ac:dyDescent="0.25">
      <c r="A2781" s="7" t="s">
        <v>15797</v>
      </c>
      <c r="B2781" s="8" t="s">
        <v>4248</v>
      </c>
      <c r="C2781" s="8" t="s">
        <v>1865</v>
      </c>
      <c r="D2781" s="8" t="str">
        <f>"9789175195711"</f>
        <v>9789175195711</v>
      </c>
    </row>
    <row r="2782" spans="1:4" x14ac:dyDescent="0.25">
      <c r="A2782" s="7" t="s">
        <v>14650</v>
      </c>
      <c r="B2782" s="8" t="s">
        <v>14403</v>
      </c>
      <c r="C2782" s="8" t="s">
        <v>1865</v>
      </c>
      <c r="D2782" s="8" t="str">
        <f>"9789179298401"</f>
        <v>9789179298401</v>
      </c>
    </row>
    <row r="2783" spans="1:4" ht="30" x14ac:dyDescent="0.25">
      <c r="A2783" s="7" t="s">
        <v>13996</v>
      </c>
      <c r="B2783" s="8" t="s">
        <v>13998</v>
      </c>
      <c r="C2783" s="8" t="s">
        <v>13997</v>
      </c>
      <c r="D2783" s="8" t="str">
        <f>"9789563935325"</f>
        <v>9789563935325</v>
      </c>
    </row>
    <row r="2784" spans="1:4" x14ac:dyDescent="0.25">
      <c r="A2784" s="7" t="s">
        <v>14023</v>
      </c>
      <c r="B2784" s="8" t="s">
        <v>14024</v>
      </c>
      <c r="C2784" s="8" t="s">
        <v>13997</v>
      </c>
      <c r="D2784" s="8" t="str">
        <f>"9789566095262"</f>
        <v>9789566095262</v>
      </c>
    </row>
    <row r="2785" spans="1:4" x14ac:dyDescent="0.25">
      <c r="A2785" s="7" t="s">
        <v>5419</v>
      </c>
      <c r="B2785" s="8" t="s">
        <v>5091</v>
      </c>
      <c r="C2785" s="8" t="s">
        <v>2273</v>
      </c>
      <c r="D2785" s="8" t="str">
        <f>"9783030278748"</f>
        <v>9783030278748</v>
      </c>
    </row>
    <row r="2786" spans="1:4" x14ac:dyDescent="0.25">
      <c r="A2786" s="7" t="s">
        <v>5330</v>
      </c>
      <c r="B2786" s="8" t="s">
        <v>197</v>
      </c>
      <c r="C2786" s="8" t="s">
        <v>2273</v>
      </c>
      <c r="D2786" s="8" t="str">
        <f>"9783319647319"</f>
        <v>9783319647319</v>
      </c>
    </row>
    <row r="2787" spans="1:4" x14ac:dyDescent="0.25">
      <c r="A2787" s="7" t="s">
        <v>3341</v>
      </c>
      <c r="B2787" s="8" t="s">
        <v>3342</v>
      </c>
      <c r="C2787" s="8" t="s">
        <v>1879</v>
      </c>
      <c r="D2787" s="8" t="str">
        <f>"9781783743902"</f>
        <v>9781783743902</v>
      </c>
    </row>
    <row r="2788" spans="1:4" x14ac:dyDescent="0.25">
      <c r="A2788" s="7" t="s">
        <v>13544</v>
      </c>
      <c r="B2788" s="8" t="s">
        <v>6600</v>
      </c>
      <c r="C2788" s="8" t="s">
        <v>2273</v>
      </c>
      <c r="D2788" s="8" t="str">
        <f>"9783031170409"</f>
        <v>9783031170409</v>
      </c>
    </row>
    <row r="2789" spans="1:4" x14ac:dyDescent="0.25">
      <c r="A2789" s="7" t="s">
        <v>674</v>
      </c>
      <c r="B2789" s="8" t="s">
        <v>675</v>
      </c>
      <c r="C2789" s="8" t="s">
        <v>316</v>
      </c>
      <c r="D2789" s="8" t="str">
        <f>"9783110327496"</f>
        <v>9783110327496</v>
      </c>
    </row>
    <row r="2790" spans="1:4" x14ac:dyDescent="0.25">
      <c r="A2790" s="7" t="s">
        <v>13556</v>
      </c>
      <c r="B2790" s="8" t="s">
        <v>13557</v>
      </c>
      <c r="C2790" s="8" t="s">
        <v>2273</v>
      </c>
      <c r="D2790" s="8" t="str">
        <f>"9783031157462"</f>
        <v>9783031157462</v>
      </c>
    </row>
    <row r="2791" spans="1:4" x14ac:dyDescent="0.25">
      <c r="A2791" s="7" t="s">
        <v>12964</v>
      </c>
      <c r="B2791" s="8" t="s">
        <v>12965</v>
      </c>
      <c r="C2791" s="8" t="s">
        <v>12712</v>
      </c>
      <c r="D2791" s="8" t="str">
        <f>"9783428459100"</f>
        <v>9783428459100</v>
      </c>
    </row>
    <row r="2792" spans="1:4" x14ac:dyDescent="0.25">
      <c r="A2792" s="7" t="s">
        <v>9794</v>
      </c>
      <c r="B2792" s="8" t="s">
        <v>9795</v>
      </c>
      <c r="C2792" s="8" t="s">
        <v>993</v>
      </c>
      <c r="D2792" s="8" t="str">
        <f>"9783839404904"</f>
        <v>9783839404904</v>
      </c>
    </row>
    <row r="2793" spans="1:4" x14ac:dyDescent="0.25">
      <c r="A2793" s="7" t="s">
        <v>1565</v>
      </c>
      <c r="B2793" s="8" t="s">
        <v>1566</v>
      </c>
      <c r="C2793" s="8" t="s">
        <v>1345</v>
      </c>
      <c r="D2793" s="8" t="str">
        <f>"9783862193172"</f>
        <v>9783862193172</v>
      </c>
    </row>
    <row r="2794" spans="1:4" x14ac:dyDescent="0.25">
      <c r="A2794" s="7" t="s">
        <v>11087</v>
      </c>
      <c r="B2794" s="8" t="s">
        <v>11088</v>
      </c>
      <c r="C2794" s="8" t="s">
        <v>6704</v>
      </c>
      <c r="D2794" s="8" t="str">
        <f>"9780472902309"</f>
        <v>9780472902309</v>
      </c>
    </row>
    <row r="2795" spans="1:4" x14ac:dyDescent="0.25">
      <c r="A2795" s="7" t="s">
        <v>5836</v>
      </c>
      <c r="B2795" s="8" t="s">
        <v>5837</v>
      </c>
      <c r="C2795" s="8" t="s">
        <v>2273</v>
      </c>
      <c r="D2795" s="8" t="str">
        <f>"9783319995960"</f>
        <v>9783319995960</v>
      </c>
    </row>
    <row r="2796" spans="1:4" ht="30" x14ac:dyDescent="0.25">
      <c r="A2796" s="7" t="s">
        <v>7722</v>
      </c>
      <c r="B2796" s="8" t="s">
        <v>7723</v>
      </c>
      <c r="C2796" s="8" t="s">
        <v>993</v>
      </c>
      <c r="D2796" s="8" t="str">
        <f>"9783839430132"</f>
        <v>9783839430132</v>
      </c>
    </row>
    <row r="2797" spans="1:4" x14ac:dyDescent="0.25">
      <c r="A2797" s="7" t="s">
        <v>15940</v>
      </c>
      <c r="B2797" s="8" t="s">
        <v>15941</v>
      </c>
      <c r="C2797" s="8" t="s">
        <v>1865</v>
      </c>
      <c r="D2797" s="8" t="str">
        <f>"9789176857816"</f>
        <v>9789176857816</v>
      </c>
    </row>
    <row r="2798" spans="1:4" x14ac:dyDescent="0.25">
      <c r="A2798" s="7" t="s">
        <v>4740</v>
      </c>
      <c r="B2798" s="8" t="s">
        <v>4741</v>
      </c>
      <c r="C2798" s="8" t="s">
        <v>562</v>
      </c>
      <c r="D2798" s="8" t="str">
        <f>"9781478007111"</f>
        <v>9781478007111</v>
      </c>
    </row>
    <row r="2799" spans="1:4" x14ac:dyDescent="0.25">
      <c r="A2799" s="7" t="s">
        <v>561</v>
      </c>
      <c r="B2799" s="8" t="s">
        <v>563</v>
      </c>
      <c r="C2799" s="8" t="s">
        <v>562</v>
      </c>
      <c r="D2799" s="8" t="str">
        <f>"9780822381204"</f>
        <v>9780822381204</v>
      </c>
    </row>
    <row r="2800" spans="1:4" ht="30" x14ac:dyDescent="0.25">
      <c r="A2800" s="7" t="s">
        <v>10390</v>
      </c>
      <c r="B2800" s="8" t="s">
        <v>10391</v>
      </c>
      <c r="C2800" s="8" t="s">
        <v>993</v>
      </c>
      <c r="D2800" s="8" t="str">
        <f>"9783839454381"</f>
        <v>9783839454381</v>
      </c>
    </row>
    <row r="2801" spans="1:4" x14ac:dyDescent="0.25">
      <c r="A2801" s="7" t="s">
        <v>4886</v>
      </c>
      <c r="B2801" s="8" t="s">
        <v>4887</v>
      </c>
      <c r="C2801" s="8" t="s">
        <v>562</v>
      </c>
      <c r="D2801" s="8" t="str">
        <f>"9781478004424"</f>
        <v>9781478004424</v>
      </c>
    </row>
    <row r="2802" spans="1:4" ht="30" x14ac:dyDescent="0.25">
      <c r="A2802" s="7" t="s">
        <v>5867</v>
      </c>
      <c r="B2802" s="8" t="s">
        <v>5868</v>
      </c>
      <c r="C2802" s="8" t="s">
        <v>5107</v>
      </c>
      <c r="D2802" s="8" t="str">
        <f>"9784431546283"</f>
        <v>9784431546283</v>
      </c>
    </row>
    <row r="2803" spans="1:4" ht="30" x14ac:dyDescent="0.25">
      <c r="A2803" s="7" t="s">
        <v>1221</v>
      </c>
      <c r="B2803" s="8" t="s">
        <v>1222</v>
      </c>
      <c r="C2803" s="8" t="s">
        <v>355</v>
      </c>
      <c r="D2803" s="8" t="str">
        <f>"9783486833669"</f>
        <v>9783486833669</v>
      </c>
    </row>
    <row r="2804" spans="1:4" ht="30" x14ac:dyDescent="0.25">
      <c r="A2804" s="7" t="s">
        <v>15109</v>
      </c>
      <c r="B2804" s="8" t="s">
        <v>15110</v>
      </c>
      <c r="C2804" s="8" t="s">
        <v>1865</v>
      </c>
      <c r="D2804" s="8" t="str">
        <f>"9789175198194"</f>
        <v>9789175198194</v>
      </c>
    </row>
    <row r="2805" spans="1:4" ht="30" x14ac:dyDescent="0.25">
      <c r="A2805" s="7" t="s">
        <v>16020</v>
      </c>
      <c r="B2805" s="8" t="s">
        <v>16021</v>
      </c>
      <c r="C2805" s="8" t="s">
        <v>1865</v>
      </c>
      <c r="D2805" s="8" t="str">
        <f>"9789175196794"</f>
        <v>9789175196794</v>
      </c>
    </row>
    <row r="2806" spans="1:4" x14ac:dyDescent="0.25">
      <c r="A2806" s="7" t="s">
        <v>2005</v>
      </c>
      <c r="B2806" s="8" t="s">
        <v>2006</v>
      </c>
      <c r="C2806" s="8" t="s">
        <v>1962</v>
      </c>
      <c r="D2806" s="8" t="str">
        <f>"9782759206988"</f>
        <v>9782759206988</v>
      </c>
    </row>
    <row r="2807" spans="1:4" ht="45" x14ac:dyDescent="0.25">
      <c r="A2807" s="7" t="s">
        <v>13662</v>
      </c>
      <c r="B2807" s="8" t="s">
        <v>13663</v>
      </c>
      <c r="C2807" s="8" t="s">
        <v>2274</v>
      </c>
      <c r="D2807" s="8" t="str">
        <f>"9783031181610"</f>
        <v>9783031181610</v>
      </c>
    </row>
    <row r="2808" spans="1:4" x14ac:dyDescent="0.25">
      <c r="A2808" s="7" t="s">
        <v>369</v>
      </c>
      <c r="B2808" s="8" t="s">
        <v>370</v>
      </c>
      <c r="C2808" s="8" t="s">
        <v>227</v>
      </c>
      <c r="D2808" s="8" t="str">
        <f>"9781847790705"</f>
        <v>9781847790705</v>
      </c>
    </row>
    <row r="2809" spans="1:4" x14ac:dyDescent="0.25">
      <c r="A2809" s="7" t="s">
        <v>14241</v>
      </c>
      <c r="B2809" s="8" t="s">
        <v>14242</v>
      </c>
      <c r="C2809" s="8" t="s">
        <v>2273</v>
      </c>
      <c r="D2809" s="8" t="str">
        <f>"9783031208850"</f>
        <v>9783031208850</v>
      </c>
    </row>
    <row r="2810" spans="1:4" x14ac:dyDescent="0.25">
      <c r="A2810" s="7" t="s">
        <v>14277</v>
      </c>
      <c r="B2810" s="8" t="s">
        <v>14278</v>
      </c>
      <c r="C2810" s="8" t="s">
        <v>2273</v>
      </c>
      <c r="D2810" s="8" t="str">
        <f>"9783031237560"</f>
        <v>9783031237560</v>
      </c>
    </row>
    <row r="2811" spans="1:4" x14ac:dyDescent="0.25">
      <c r="A2811" s="7" t="s">
        <v>3444</v>
      </c>
      <c r="B2811" s="8" t="s">
        <v>3445</v>
      </c>
      <c r="C2811" s="8" t="s">
        <v>1345</v>
      </c>
      <c r="D2811" s="8" t="str">
        <f>"9783737603416"</f>
        <v>9783737603416</v>
      </c>
    </row>
    <row r="2812" spans="1:4" x14ac:dyDescent="0.25">
      <c r="A2812" s="7" t="s">
        <v>11555</v>
      </c>
      <c r="B2812" s="8" t="s">
        <v>11556</v>
      </c>
      <c r="C2812" s="8" t="s">
        <v>355</v>
      </c>
      <c r="D2812" s="8" t="str">
        <f>"9783110677072"</f>
        <v>9783110677072</v>
      </c>
    </row>
    <row r="2813" spans="1:4" ht="30" x14ac:dyDescent="0.25">
      <c r="A2813" s="7" t="s">
        <v>7771</v>
      </c>
      <c r="B2813" s="8" t="s">
        <v>7772</v>
      </c>
      <c r="C2813" s="8" t="s">
        <v>993</v>
      </c>
      <c r="D2813" s="8" t="str">
        <f>"9783839407851"</f>
        <v>9783839407851</v>
      </c>
    </row>
    <row r="2814" spans="1:4" ht="30" x14ac:dyDescent="0.25">
      <c r="A2814" s="7" t="s">
        <v>7780</v>
      </c>
      <c r="B2814" s="8" t="s">
        <v>7781</v>
      </c>
      <c r="C2814" s="8" t="s">
        <v>993</v>
      </c>
      <c r="D2814" s="8" t="str">
        <f>"9783839409701"</f>
        <v>9783839409701</v>
      </c>
    </row>
    <row r="2815" spans="1:4" x14ac:dyDescent="0.25">
      <c r="A2815" s="7" t="s">
        <v>10017</v>
      </c>
      <c r="B2815" s="8" t="s">
        <v>10018</v>
      </c>
      <c r="C2815" s="8" t="s">
        <v>993</v>
      </c>
      <c r="D2815" s="8" t="str">
        <f>"9783839410370"</f>
        <v>9783839410370</v>
      </c>
    </row>
    <row r="2816" spans="1:4" x14ac:dyDescent="0.25">
      <c r="A2816" s="7" t="s">
        <v>10317</v>
      </c>
      <c r="B2816" s="8" t="s">
        <v>10318</v>
      </c>
      <c r="C2816" s="8" t="s">
        <v>993</v>
      </c>
      <c r="D2816" s="8" t="str">
        <f>"9783839448830"</f>
        <v>9783839448830</v>
      </c>
    </row>
    <row r="2817" spans="1:4" x14ac:dyDescent="0.25">
      <c r="A2817" s="7" t="s">
        <v>3951</v>
      </c>
      <c r="B2817" s="8" t="s">
        <v>3952</v>
      </c>
      <c r="C2817" s="8" t="s">
        <v>1879</v>
      </c>
      <c r="D2817" s="8" t="str">
        <f>"9781783744435"</f>
        <v>9781783744435</v>
      </c>
    </row>
    <row r="2818" spans="1:4" x14ac:dyDescent="0.25">
      <c r="A2818" s="7" t="s">
        <v>7557</v>
      </c>
      <c r="B2818" s="8" t="s">
        <v>7558</v>
      </c>
      <c r="C2818" s="8" t="s">
        <v>993</v>
      </c>
      <c r="D2818" s="8" t="str">
        <f>"9783839414200"</f>
        <v>9783839414200</v>
      </c>
    </row>
    <row r="2819" spans="1:4" ht="30" x14ac:dyDescent="0.25">
      <c r="A2819" s="7" t="s">
        <v>7590</v>
      </c>
      <c r="B2819" s="8" t="s">
        <v>7591</v>
      </c>
      <c r="C2819" s="8" t="s">
        <v>993</v>
      </c>
      <c r="D2819" s="8" t="str">
        <f>"9783839417225"</f>
        <v>9783839417225</v>
      </c>
    </row>
    <row r="2820" spans="1:4" x14ac:dyDescent="0.25">
      <c r="A2820" s="7" t="s">
        <v>7708</v>
      </c>
      <c r="B2820" s="8" t="s">
        <v>7709</v>
      </c>
      <c r="C2820" s="8" t="s">
        <v>993</v>
      </c>
      <c r="D2820" s="8" t="str">
        <f>"9783839430101"</f>
        <v>9783839430101</v>
      </c>
    </row>
    <row r="2821" spans="1:4" ht="45" x14ac:dyDescent="0.25">
      <c r="A2821" s="7" t="s">
        <v>10940</v>
      </c>
      <c r="B2821" s="8" t="s">
        <v>10941</v>
      </c>
      <c r="C2821" s="8" t="s">
        <v>355</v>
      </c>
      <c r="D2821" s="8" t="str">
        <f>"9783486835700"</f>
        <v>9783486835700</v>
      </c>
    </row>
    <row r="2822" spans="1:4" ht="60" x14ac:dyDescent="0.25">
      <c r="A2822" s="7" t="s">
        <v>1124</v>
      </c>
      <c r="B2822" s="8" t="s">
        <v>1125</v>
      </c>
      <c r="C2822" s="8" t="s">
        <v>316</v>
      </c>
      <c r="D2822" s="8" t="str">
        <f>"9783110921380"</f>
        <v>9783110921380</v>
      </c>
    </row>
    <row r="2823" spans="1:4" x14ac:dyDescent="0.25">
      <c r="A2823" s="7" t="s">
        <v>568</v>
      </c>
      <c r="B2823" s="8" t="s">
        <v>569</v>
      </c>
      <c r="C2823" s="8" t="s">
        <v>562</v>
      </c>
      <c r="D2823" s="8" t="str">
        <f>"9780822389620"</f>
        <v>9780822389620</v>
      </c>
    </row>
    <row r="2824" spans="1:4" x14ac:dyDescent="0.25">
      <c r="A2824" s="7" t="s">
        <v>743</v>
      </c>
      <c r="B2824" s="8" t="s">
        <v>744</v>
      </c>
      <c r="C2824" s="8" t="s">
        <v>355</v>
      </c>
      <c r="D2824" s="8" t="str">
        <f>"9788376560380"</f>
        <v>9788376560380</v>
      </c>
    </row>
    <row r="2825" spans="1:4" x14ac:dyDescent="0.25">
      <c r="A2825" s="7" t="s">
        <v>3902</v>
      </c>
      <c r="B2825" s="8" t="s">
        <v>742</v>
      </c>
      <c r="C2825" s="8" t="s">
        <v>355</v>
      </c>
      <c r="D2825" s="8" t="str">
        <f>"9788376560625"</f>
        <v>9788376560625</v>
      </c>
    </row>
    <row r="2826" spans="1:4" x14ac:dyDescent="0.25">
      <c r="A2826" s="7" t="s">
        <v>13579</v>
      </c>
      <c r="B2826" s="8" t="s">
        <v>13580</v>
      </c>
      <c r="C2826" s="8" t="s">
        <v>2273</v>
      </c>
      <c r="D2826" s="8" t="str">
        <f>"9783031136948"</f>
        <v>9783031136948</v>
      </c>
    </row>
    <row r="2827" spans="1:4" ht="30" x14ac:dyDescent="0.25">
      <c r="A2827" s="7" t="s">
        <v>5599</v>
      </c>
      <c r="B2827" s="8" t="s">
        <v>5600</v>
      </c>
      <c r="C2827" s="8" t="s">
        <v>2273</v>
      </c>
      <c r="D2827" s="8" t="str">
        <f>"9783030555405"</f>
        <v>9783030555405</v>
      </c>
    </row>
    <row r="2828" spans="1:4" ht="30" x14ac:dyDescent="0.25">
      <c r="A2828" s="7" t="s">
        <v>5307</v>
      </c>
      <c r="B2828" s="8" t="s">
        <v>5308</v>
      </c>
      <c r="C2828" s="8" t="s">
        <v>2273</v>
      </c>
      <c r="D2828" s="8" t="str">
        <f>"9783030422745"</f>
        <v>9783030422745</v>
      </c>
    </row>
    <row r="2829" spans="1:4" x14ac:dyDescent="0.25">
      <c r="A2829" s="7" t="s">
        <v>5530</v>
      </c>
      <c r="B2829" s="8" t="s">
        <v>5279</v>
      </c>
      <c r="C2829" s="8" t="s">
        <v>2273</v>
      </c>
      <c r="D2829" s="8" t="str">
        <f>"9783030563165"</f>
        <v>9783030563165</v>
      </c>
    </row>
    <row r="2830" spans="1:4" x14ac:dyDescent="0.25">
      <c r="A2830" s="7" t="s">
        <v>13547</v>
      </c>
      <c r="B2830" s="8" t="s">
        <v>5920</v>
      </c>
      <c r="C2830" s="8" t="s">
        <v>2273</v>
      </c>
      <c r="D2830" s="8" t="str">
        <f>"9783031172588"</f>
        <v>9783031172588</v>
      </c>
    </row>
    <row r="2831" spans="1:4" x14ac:dyDescent="0.25">
      <c r="A2831" s="7" t="s">
        <v>12429</v>
      </c>
      <c r="B2831" s="8" t="s">
        <v>12430</v>
      </c>
      <c r="C2831" s="8" t="s">
        <v>2273</v>
      </c>
      <c r="D2831" s="8" t="str">
        <f>"9783030940126"</f>
        <v>9783030940126</v>
      </c>
    </row>
    <row r="2832" spans="1:4" x14ac:dyDescent="0.25">
      <c r="A2832" s="7" t="s">
        <v>8423</v>
      </c>
      <c r="B2832" s="8" t="s">
        <v>8424</v>
      </c>
      <c r="C2832" s="8" t="s">
        <v>993</v>
      </c>
      <c r="D2832" s="8" t="str">
        <f>"9783839450697"</f>
        <v>9783839450697</v>
      </c>
    </row>
    <row r="2833" spans="1:4" x14ac:dyDescent="0.25">
      <c r="A2833" s="7" t="s">
        <v>3531</v>
      </c>
      <c r="B2833" s="8" t="s">
        <v>3532</v>
      </c>
      <c r="C2833" s="8" t="s">
        <v>1345</v>
      </c>
      <c r="D2833" s="8" t="str">
        <f>"9783737603515"</f>
        <v>9783737603515</v>
      </c>
    </row>
    <row r="2834" spans="1:4" ht="30" x14ac:dyDescent="0.25">
      <c r="A2834" s="7" t="s">
        <v>6086</v>
      </c>
      <c r="B2834" s="8" t="s">
        <v>6087</v>
      </c>
      <c r="C2834" s="8" t="s">
        <v>2273</v>
      </c>
      <c r="D2834" s="8" t="str">
        <f>"9783319956602"</f>
        <v>9783319956602</v>
      </c>
    </row>
    <row r="2835" spans="1:4" ht="30" x14ac:dyDescent="0.25">
      <c r="A2835" s="7" t="s">
        <v>8499</v>
      </c>
      <c r="B2835" s="8" t="s">
        <v>8500</v>
      </c>
      <c r="C2835" s="8" t="s">
        <v>993</v>
      </c>
      <c r="D2835" s="8" t="str">
        <f>"9783839458228"</f>
        <v>9783839458228</v>
      </c>
    </row>
    <row r="2836" spans="1:4" x14ac:dyDescent="0.25">
      <c r="A2836" s="7" t="s">
        <v>4630</v>
      </c>
      <c r="B2836" s="8" t="s">
        <v>4631</v>
      </c>
      <c r="C2836" s="8" t="s">
        <v>1865</v>
      </c>
      <c r="D2836" s="8" t="str">
        <f>"9789175190075"</f>
        <v>9789175190075</v>
      </c>
    </row>
    <row r="2837" spans="1:4" ht="30" x14ac:dyDescent="0.25">
      <c r="A2837" s="7" t="s">
        <v>6597</v>
      </c>
      <c r="B2837" s="8" t="s">
        <v>6598</v>
      </c>
      <c r="C2837" s="8" t="s">
        <v>2273</v>
      </c>
      <c r="D2837" s="8" t="str">
        <f>"9783030567958"</f>
        <v>9783030567958</v>
      </c>
    </row>
    <row r="2838" spans="1:4" x14ac:dyDescent="0.25">
      <c r="A2838" s="7" t="s">
        <v>6981</v>
      </c>
      <c r="B2838" s="8" t="s">
        <v>6982</v>
      </c>
      <c r="C2838" s="8" t="s">
        <v>2273</v>
      </c>
      <c r="D2838" s="8" t="str">
        <f>"9783030708900"</f>
        <v>9783030708900</v>
      </c>
    </row>
    <row r="2839" spans="1:4" x14ac:dyDescent="0.25">
      <c r="A2839" s="7" t="s">
        <v>12199</v>
      </c>
      <c r="B2839" s="8" t="s">
        <v>12200</v>
      </c>
      <c r="C2839" s="8" t="s">
        <v>2082</v>
      </c>
      <c r="D2839" s="8" t="str">
        <f>"9780472902873"</f>
        <v>9780472902873</v>
      </c>
    </row>
    <row r="2840" spans="1:4" x14ac:dyDescent="0.25">
      <c r="A2840" s="7" t="s">
        <v>5150</v>
      </c>
      <c r="B2840" s="8" t="s">
        <v>5151</v>
      </c>
      <c r="C2840" s="8" t="s">
        <v>4245</v>
      </c>
      <c r="D2840" s="8" t="str">
        <f>"9789811555541"</f>
        <v>9789811555541</v>
      </c>
    </row>
    <row r="2841" spans="1:4" ht="30" x14ac:dyDescent="0.25">
      <c r="A2841" s="7" t="s">
        <v>1344</v>
      </c>
      <c r="B2841" s="8" t="s">
        <v>1346</v>
      </c>
      <c r="C2841" s="8" t="s">
        <v>1345</v>
      </c>
      <c r="D2841" s="8" t="str">
        <f>"9783899586916"</f>
        <v>9783899586916</v>
      </c>
    </row>
    <row r="2842" spans="1:4" x14ac:dyDescent="0.25">
      <c r="A2842" s="7" t="s">
        <v>11330</v>
      </c>
      <c r="B2842" s="8" t="s">
        <v>11331</v>
      </c>
      <c r="C2842" s="8" t="s">
        <v>355</v>
      </c>
      <c r="D2842" s="8" t="str">
        <f>"9783110624625"</f>
        <v>9783110624625</v>
      </c>
    </row>
    <row r="2843" spans="1:4" ht="30" x14ac:dyDescent="0.25">
      <c r="A2843" s="7" t="s">
        <v>15952</v>
      </c>
      <c r="B2843" s="8" t="s">
        <v>15953</v>
      </c>
      <c r="C2843" s="8" t="s">
        <v>1865</v>
      </c>
      <c r="D2843" s="8" t="str">
        <f>"9789175195346"</f>
        <v>9789175195346</v>
      </c>
    </row>
    <row r="2844" spans="1:4" x14ac:dyDescent="0.25">
      <c r="A2844" s="7" t="s">
        <v>14642</v>
      </c>
      <c r="B2844" s="8" t="s">
        <v>14643</v>
      </c>
      <c r="C2844" s="8" t="s">
        <v>1865</v>
      </c>
      <c r="D2844" s="8" t="str">
        <f>"9789179292331"</f>
        <v>9789179292331</v>
      </c>
    </row>
    <row r="2845" spans="1:4" ht="30" x14ac:dyDescent="0.25">
      <c r="A2845" s="7" t="s">
        <v>13398</v>
      </c>
      <c r="B2845" s="8" t="s">
        <v>13399</v>
      </c>
      <c r="C2845" s="8" t="s">
        <v>5086</v>
      </c>
      <c r="D2845" s="8" t="str">
        <f>"9783658390334"</f>
        <v>9783658390334</v>
      </c>
    </row>
    <row r="2846" spans="1:4" ht="30" x14ac:dyDescent="0.25">
      <c r="A2846" s="7" t="s">
        <v>15860</v>
      </c>
      <c r="B2846" s="8" t="s">
        <v>15861</v>
      </c>
      <c r="C2846" s="8" t="s">
        <v>1865</v>
      </c>
      <c r="D2846" s="8" t="str">
        <f>"9789175196831"</f>
        <v>9789175196831</v>
      </c>
    </row>
    <row r="2847" spans="1:4" x14ac:dyDescent="0.25">
      <c r="A2847" s="7" t="s">
        <v>15974</v>
      </c>
      <c r="B2847" s="8" t="s">
        <v>15975</v>
      </c>
      <c r="C2847" s="8" t="s">
        <v>1865</v>
      </c>
      <c r="D2847" s="8" t="str">
        <f>"9789180751155"</f>
        <v>9789180751155</v>
      </c>
    </row>
    <row r="2848" spans="1:4" x14ac:dyDescent="0.25">
      <c r="A2848" s="7" t="s">
        <v>11308</v>
      </c>
      <c r="B2848" s="8" t="s">
        <v>3859</v>
      </c>
      <c r="C2848" s="8" t="s">
        <v>355</v>
      </c>
      <c r="D2848" s="8" t="str">
        <f>"9783110610604"</f>
        <v>9783110610604</v>
      </c>
    </row>
    <row r="2849" spans="1:4" x14ac:dyDescent="0.25">
      <c r="A2849" s="7" t="s">
        <v>2130</v>
      </c>
      <c r="B2849" s="8" t="s">
        <v>2131</v>
      </c>
      <c r="C2849" s="8" t="s">
        <v>1865</v>
      </c>
      <c r="D2849" s="8" t="str">
        <f>"9789175190952"</f>
        <v>9789175190952</v>
      </c>
    </row>
    <row r="2850" spans="1:4" ht="30" x14ac:dyDescent="0.25">
      <c r="A2850" s="7" t="s">
        <v>15457</v>
      </c>
      <c r="B2850" s="8" t="s">
        <v>15458</v>
      </c>
      <c r="C2850" s="8" t="s">
        <v>1865</v>
      </c>
      <c r="D2850" s="8" t="str">
        <f>"9789175196664"</f>
        <v>9789175196664</v>
      </c>
    </row>
    <row r="2851" spans="1:4" ht="60" x14ac:dyDescent="0.25">
      <c r="A2851" s="7" t="s">
        <v>2484</v>
      </c>
      <c r="B2851" s="8" t="s">
        <v>2485</v>
      </c>
      <c r="C2851" s="8" t="s">
        <v>1865</v>
      </c>
      <c r="D2851" s="8" t="str">
        <f>"9789176859360"</f>
        <v>9789176859360</v>
      </c>
    </row>
    <row r="2852" spans="1:4" ht="30" x14ac:dyDescent="0.25">
      <c r="A2852" s="7" t="s">
        <v>1451</v>
      </c>
      <c r="B2852" s="8" t="s">
        <v>1452</v>
      </c>
      <c r="C2852" s="8" t="s">
        <v>1345</v>
      </c>
      <c r="D2852" s="8" t="str">
        <f>"9783899588897"</f>
        <v>9783899588897</v>
      </c>
    </row>
    <row r="2853" spans="1:4" x14ac:dyDescent="0.25">
      <c r="A2853" s="7" t="s">
        <v>15569</v>
      </c>
      <c r="B2853" s="8" t="s">
        <v>15570</v>
      </c>
      <c r="C2853" s="8" t="s">
        <v>1865</v>
      </c>
      <c r="D2853" s="8" t="str">
        <f>"9789175195971"</f>
        <v>9789175195971</v>
      </c>
    </row>
    <row r="2854" spans="1:4" x14ac:dyDescent="0.25">
      <c r="A2854" s="7" t="s">
        <v>1627</v>
      </c>
      <c r="B2854" s="8" t="s">
        <v>1628</v>
      </c>
      <c r="C2854" s="8" t="s">
        <v>1345</v>
      </c>
      <c r="D2854" s="8" t="str">
        <f>"9783862190751"</f>
        <v>9783862190751</v>
      </c>
    </row>
    <row r="2855" spans="1:4" x14ac:dyDescent="0.25">
      <c r="A2855" s="7" t="s">
        <v>9716</v>
      </c>
      <c r="B2855" s="8" t="s">
        <v>9717</v>
      </c>
      <c r="C2855" s="8" t="s">
        <v>993</v>
      </c>
      <c r="D2855" s="8" t="str">
        <f>"9783839402535"</f>
        <v>9783839402535</v>
      </c>
    </row>
    <row r="2856" spans="1:4" x14ac:dyDescent="0.25">
      <c r="A2856" s="7" t="s">
        <v>3046</v>
      </c>
      <c r="B2856" s="8" t="s">
        <v>3047</v>
      </c>
      <c r="C2856" s="8" t="s">
        <v>355</v>
      </c>
      <c r="D2856" s="8" t="str">
        <f>"9783110485912"</f>
        <v>9783110485912</v>
      </c>
    </row>
    <row r="2857" spans="1:4" x14ac:dyDescent="0.25">
      <c r="A2857" s="7" t="s">
        <v>826</v>
      </c>
      <c r="B2857" s="8" t="s">
        <v>827</v>
      </c>
      <c r="C2857" s="8" t="s">
        <v>562</v>
      </c>
      <c r="D2857" s="8" t="str">
        <f>"9780822377078"</f>
        <v>9780822377078</v>
      </c>
    </row>
    <row r="2858" spans="1:4" ht="30" x14ac:dyDescent="0.25">
      <c r="A2858" s="7" t="s">
        <v>9000</v>
      </c>
      <c r="B2858" s="8" t="s">
        <v>9001</v>
      </c>
      <c r="C2858" s="8" t="s">
        <v>1342</v>
      </c>
      <c r="D2858" s="8" t="str">
        <f>"9789633863770"</f>
        <v>9789633863770</v>
      </c>
    </row>
    <row r="2859" spans="1:4" x14ac:dyDescent="0.25">
      <c r="A2859" s="7" t="s">
        <v>15993</v>
      </c>
      <c r="B2859" s="8" t="s">
        <v>15994</v>
      </c>
      <c r="C2859" s="8" t="s">
        <v>1865</v>
      </c>
      <c r="D2859" s="8" t="str">
        <f>"9789176858295"</f>
        <v>9789176858295</v>
      </c>
    </row>
    <row r="2860" spans="1:4" x14ac:dyDescent="0.25">
      <c r="A2860" s="7" t="s">
        <v>4772</v>
      </c>
      <c r="B2860" s="8" t="s">
        <v>4773</v>
      </c>
      <c r="C2860" s="8" t="s">
        <v>562</v>
      </c>
      <c r="D2860" s="8" t="str">
        <f>"9781478007296"</f>
        <v>9781478007296</v>
      </c>
    </row>
    <row r="2861" spans="1:4" x14ac:dyDescent="0.25">
      <c r="A2861" s="7" t="s">
        <v>2391</v>
      </c>
      <c r="B2861" s="8" t="s">
        <v>2392</v>
      </c>
      <c r="C2861" s="8" t="s">
        <v>329</v>
      </c>
      <c r="D2861" s="8" t="str">
        <f>"9789048526390"</f>
        <v>9789048526390</v>
      </c>
    </row>
    <row r="2862" spans="1:4" x14ac:dyDescent="0.25">
      <c r="A2862" s="7" t="s">
        <v>9554</v>
      </c>
      <c r="B2862" s="8" t="s">
        <v>9555</v>
      </c>
      <c r="C2862" s="8" t="s">
        <v>2273</v>
      </c>
      <c r="D2862" s="8" t="str">
        <f>"9783030919597"</f>
        <v>9783030919597</v>
      </c>
    </row>
    <row r="2863" spans="1:4" x14ac:dyDescent="0.25">
      <c r="A2863" s="7" t="s">
        <v>12481</v>
      </c>
      <c r="B2863" s="8" t="s">
        <v>12482</v>
      </c>
      <c r="C2863" s="8" t="s">
        <v>2273</v>
      </c>
      <c r="D2863" s="8" t="str">
        <f>"9783031044625"</f>
        <v>9783031044625</v>
      </c>
    </row>
    <row r="2864" spans="1:4" x14ac:dyDescent="0.25">
      <c r="A2864" s="7" t="s">
        <v>14836</v>
      </c>
      <c r="B2864" s="8" t="s">
        <v>14837</v>
      </c>
      <c r="C2864" s="8" t="s">
        <v>1865</v>
      </c>
      <c r="D2864" s="8" t="str">
        <f>"9789175190884"</f>
        <v>9789175190884</v>
      </c>
    </row>
    <row r="2865" spans="1:4" x14ac:dyDescent="0.25">
      <c r="A2865" s="7" t="s">
        <v>5283</v>
      </c>
      <c r="B2865" s="8" t="s">
        <v>5284</v>
      </c>
      <c r="C2865" s="8" t="s">
        <v>2273</v>
      </c>
      <c r="D2865" s="8" t="str">
        <f>"9783030477011"</f>
        <v>9783030477011</v>
      </c>
    </row>
    <row r="2866" spans="1:4" ht="30" x14ac:dyDescent="0.25">
      <c r="A2866" s="7" t="s">
        <v>2438</v>
      </c>
      <c r="B2866" s="8" t="s">
        <v>2439</v>
      </c>
      <c r="C2866" s="8" t="s">
        <v>1865</v>
      </c>
      <c r="D2866" s="8" t="str">
        <f>"9789175190198"</f>
        <v>9789175190198</v>
      </c>
    </row>
    <row r="2867" spans="1:4" x14ac:dyDescent="0.25">
      <c r="A2867" s="7" t="s">
        <v>8055</v>
      </c>
      <c r="B2867" s="8" t="s">
        <v>8056</v>
      </c>
      <c r="C2867" s="8" t="s">
        <v>2273</v>
      </c>
      <c r="D2867" s="8" t="str">
        <f>"9783030768379"</f>
        <v>9783030768379</v>
      </c>
    </row>
    <row r="2868" spans="1:4" x14ac:dyDescent="0.25">
      <c r="A2868" s="7" t="s">
        <v>5148</v>
      </c>
      <c r="B2868" s="8" t="s">
        <v>5149</v>
      </c>
      <c r="C2868" s="8" t="s">
        <v>5134</v>
      </c>
      <c r="D2868" s="8" t="str">
        <f>"9783662614549"</f>
        <v>9783662614549</v>
      </c>
    </row>
    <row r="2869" spans="1:4" x14ac:dyDescent="0.25">
      <c r="A2869" s="7" t="s">
        <v>14140</v>
      </c>
      <c r="B2869" s="8" t="s">
        <v>5149</v>
      </c>
      <c r="C2869" s="8" t="s">
        <v>5134</v>
      </c>
      <c r="D2869" s="8" t="str">
        <f>"9783662657454"</f>
        <v>9783662657454</v>
      </c>
    </row>
    <row r="2870" spans="1:4" ht="30" x14ac:dyDescent="0.25">
      <c r="A2870" s="7" t="s">
        <v>9851</v>
      </c>
      <c r="B2870" s="8" t="s">
        <v>9852</v>
      </c>
      <c r="C2870" s="8" t="s">
        <v>993</v>
      </c>
      <c r="D2870" s="8" t="str">
        <f>"9783839406632"</f>
        <v>9783839406632</v>
      </c>
    </row>
    <row r="2871" spans="1:4" ht="30" x14ac:dyDescent="0.25">
      <c r="A2871" s="7" t="s">
        <v>6234</v>
      </c>
      <c r="B2871" s="8" t="s">
        <v>6235</v>
      </c>
      <c r="C2871" s="8" t="s">
        <v>4245</v>
      </c>
      <c r="D2871" s="8" t="str">
        <f>"9789811075483"</f>
        <v>9789811075483</v>
      </c>
    </row>
    <row r="2872" spans="1:4" ht="30" x14ac:dyDescent="0.25">
      <c r="A2872" s="7" t="s">
        <v>9066</v>
      </c>
      <c r="B2872" s="8" t="s">
        <v>9067</v>
      </c>
      <c r="C2872" s="8" t="s">
        <v>2273</v>
      </c>
      <c r="D2872" s="8" t="str">
        <f>"9783030893972"</f>
        <v>9783030893972</v>
      </c>
    </row>
    <row r="2873" spans="1:4" ht="30" x14ac:dyDescent="0.25">
      <c r="A2873" s="7" t="s">
        <v>3293</v>
      </c>
      <c r="B2873" s="8" t="s">
        <v>3294</v>
      </c>
      <c r="C2873" s="8" t="s">
        <v>1865</v>
      </c>
      <c r="D2873" s="8" t="str">
        <f>"9789176854891"</f>
        <v>9789176854891</v>
      </c>
    </row>
    <row r="2874" spans="1:4" ht="30" x14ac:dyDescent="0.25">
      <c r="A2874" s="7" t="s">
        <v>1815</v>
      </c>
      <c r="B2874" s="8" t="s">
        <v>1816</v>
      </c>
      <c r="C2874" s="8" t="s">
        <v>1345</v>
      </c>
      <c r="D2874" s="8" t="str">
        <f>"9783862197491"</f>
        <v>9783862197491</v>
      </c>
    </row>
    <row r="2875" spans="1:4" ht="30" x14ac:dyDescent="0.25">
      <c r="A2875" s="7" t="s">
        <v>7263</v>
      </c>
      <c r="B2875" s="8" t="s">
        <v>7264</v>
      </c>
      <c r="C2875" s="8" t="s">
        <v>355</v>
      </c>
      <c r="D2875" s="8" t="str">
        <f>"9783110653540"</f>
        <v>9783110653540</v>
      </c>
    </row>
    <row r="2876" spans="1:4" x14ac:dyDescent="0.25">
      <c r="A2876" s="7" t="s">
        <v>5676</v>
      </c>
      <c r="B2876" s="8" t="s">
        <v>5677</v>
      </c>
      <c r="C2876" s="8" t="s">
        <v>2273</v>
      </c>
      <c r="D2876" s="8" t="str">
        <f>"9783030499709"</f>
        <v>9783030499709</v>
      </c>
    </row>
    <row r="2877" spans="1:4" x14ac:dyDescent="0.25">
      <c r="A2877" s="7" t="s">
        <v>14907</v>
      </c>
      <c r="B2877" s="8" t="s">
        <v>14908</v>
      </c>
      <c r="C2877" s="8" t="s">
        <v>1865</v>
      </c>
      <c r="D2877" s="8" t="str">
        <f>"9789175194646"</f>
        <v>9789175194646</v>
      </c>
    </row>
    <row r="2878" spans="1:4" x14ac:dyDescent="0.25">
      <c r="A2878" s="7" t="s">
        <v>5651</v>
      </c>
      <c r="B2878" s="8" t="s">
        <v>1051</v>
      </c>
      <c r="C2878" s="8" t="s">
        <v>2273</v>
      </c>
      <c r="D2878" s="8" t="str">
        <f>"9783319595191"</f>
        <v>9783319595191</v>
      </c>
    </row>
    <row r="2879" spans="1:4" x14ac:dyDescent="0.25">
      <c r="A2879" s="7" t="s">
        <v>1244</v>
      </c>
      <c r="B2879" s="8" t="s">
        <v>1245</v>
      </c>
      <c r="C2879" s="8" t="s">
        <v>1224</v>
      </c>
      <c r="D2879" s="8" t="str">
        <f>"9781618118523"</f>
        <v>9781618118523</v>
      </c>
    </row>
    <row r="2880" spans="1:4" ht="30" x14ac:dyDescent="0.25">
      <c r="A2880" s="7" t="s">
        <v>4585</v>
      </c>
      <c r="B2880" s="8" t="s">
        <v>4586</v>
      </c>
      <c r="C2880" s="8" t="s">
        <v>1865</v>
      </c>
      <c r="D2880" s="8" t="str">
        <f>"9789176850466"</f>
        <v>9789176850466</v>
      </c>
    </row>
    <row r="2881" spans="1:4" x14ac:dyDescent="0.25">
      <c r="A2881" s="7" t="s">
        <v>6343</v>
      </c>
      <c r="B2881" s="8" t="s">
        <v>6344</v>
      </c>
      <c r="C2881" s="8" t="s">
        <v>1865</v>
      </c>
      <c r="D2881" s="8" t="str">
        <f>"9789179297428"</f>
        <v>9789179297428</v>
      </c>
    </row>
    <row r="2882" spans="1:4" x14ac:dyDescent="0.25">
      <c r="A2882" s="7" t="s">
        <v>15721</v>
      </c>
      <c r="B2882" s="8" t="s">
        <v>15722</v>
      </c>
      <c r="C2882" s="8" t="s">
        <v>1865</v>
      </c>
      <c r="D2882" s="8" t="str">
        <f>"9789175196954"</f>
        <v>9789175196954</v>
      </c>
    </row>
    <row r="2883" spans="1:4" ht="30" x14ac:dyDescent="0.25">
      <c r="A2883" s="7" t="s">
        <v>7810</v>
      </c>
      <c r="B2883" s="8" t="s">
        <v>7811</v>
      </c>
      <c r="C2883" s="8" t="s">
        <v>1865</v>
      </c>
      <c r="D2883" s="8" t="str">
        <f>"9789179296575"</f>
        <v>9789179296575</v>
      </c>
    </row>
    <row r="2884" spans="1:4" x14ac:dyDescent="0.25">
      <c r="A2884" s="7" t="s">
        <v>1031</v>
      </c>
      <c r="B2884" s="8" t="s">
        <v>1032</v>
      </c>
      <c r="C2884" s="8" t="s">
        <v>355</v>
      </c>
      <c r="D2884" s="8" t="str">
        <f>"9783110442069"</f>
        <v>9783110442069</v>
      </c>
    </row>
    <row r="2885" spans="1:4" x14ac:dyDescent="0.25">
      <c r="A2885" s="7" t="s">
        <v>907</v>
      </c>
      <c r="B2885" s="8" t="s">
        <v>908</v>
      </c>
      <c r="C2885" s="8" t="s">
        <v>329</v>
      </c>
      <c r="D2885" s="8" t="str">
        <f>"9789048517763"</f>
        <v>9789048517763</v>
      </c>
    </row>
    <row r="2886" spans="1:4" x14ac:dyDescent="0.25">
      <c r="A2886" s="7" t="s">
        <v>13656</v>
      </c>
      <c r="B2886" s="8" t="s">
        <v>13657</v>
      </c>
      <c r="C2886" s="8" t="s">
        <v>2785</v>
      </c>
      <c r="D2886" s="8" t="str">
        <f>"9789811967528"</f>
        <v>9789811967528</v>
      </c>
    </row>
    <row r="2887" spans="1:4" ht="30" x14ac:dyDescent="0.25">
      <c r="A2887" s="7" t="s">
        <v>14001</v>
      </c>
      <c r="B2887" s="8" t="s">
        <v>14002</v>
      </c>
      <c r="C2887" s="8" t="s">
        <v>13997</v>
      </c>
      <c r="D2887" s="8" t="str">
        <f>"9789566095064"</f>
        <v>9789566095064</v>
      </c>
    </row>
    <row r="2888" spans="1:4" x14ac:dyDescent="0.25">
      <c r="A2888" s="7" t="s">
        <v>11362</v>
      </c>
      <c r="B2888" s="8" t="s">
        <v>11363</v>
      </c>
      <c r="C2888" s="8" t="s">
        <v>355</v>
      </c>
      <c r="D2888" s="8" t="str">
        <f>"9783110683066"</f>
        <v>9783110683066</v>
      </c>
    </row>
    <row r="2889" spans="1:4" x14ac:dyDescent="0.25">
      <c r="A2889" s="7" t="s">
        <v>1238</v>
      </c>
      <c r="B2889" s="8" t="s">
        <v>1239</v>
      </c>
      <c r="C2889" s="8" t="s">
        <v>1224</v>
      </c>
      <c r="D2889" s="8" t="str">
        <f>"9781618111364"</f>
        <v>9781618111364</v>
      </c>
    </row>
    <row r="2890" spans="1:4" x14ac:dyDescent="0.25">
      <c r="A2890" s="7" t="s">
        <v>7916</v>
      </c>
      <c r="B2890" s="8" t="s">
        <v>7917</v>
      </c>
      <c r="C2890" s="8" t="s">
        <v>1865</v>
      </c>
      <c r="D2890" s="8" t="str">
        <f>"9789179290351"</f>
        <v>9789179290351</v>
      </c>
    </row>
    <row r="2891" spans="1:4" ht="30" x14ac:dyDescent="0.25">
      <c r="A2891" s="7" t="s">
        <v>6434</v>
      </c>
      <c r="B2891" s="8" t="s">
        <v>6435</v>
      </c>
      <c r="C2891" s="8" t="s">
        <v>5086</v>
      </c>
      <c r="D2891" s="8" t="str">
        <f>"9783658330439"</f>
        <v>9783658330439</v>
      </c>
    </row>
    <row r="2892" spans="1:4" ht="30" x14ac:dyDescent="0.25">
      <c r="A2892" s="7" t="s">
        <v>16222</v>
      </c>
      <c r="B2892" s="8" t="s">
        <v>16223</v>
      </c>
      <c r="C2892" s="8" t="s">
        <v>1865</v>
      </c>
      <c r="D2892" s="8" t="str">
        <f>"9789175196077"</f>
        <v>9789175196077</v>
      </c>
    </row>
    <row r="2893" spans="1:4" ht="30" x14ac:dyDescent="0.25">
      <c r="A2893" s="7" t="s">
        <v>16031</v>
      </c>
      <c r="B2893" s="8" t="s">
        <v>16032</v>
      </c>
      <c r="C2893" s="8" t="s">
        <v>1865</v>
      </c>
      <c r="D2893" s="8" t="str">
        <f>"9789175192994"</f>
        <v>9789175192994</v>
      </c>
    </row>
    <row r="2894" spans="1:4" x14ac:dyDescent="0.25">
      <c r="A2894" s="7" t="s">
        <v>15887</v>
      </c>
      <c r="B2894" s="8" t="s">
        <v>15888</v>
      </c>
      <c r="C2894" s="8" t="s">
        <v>1865</v>
      </c>
      <c r="D2894" s="8" t="str">
        <f>"9789185895199"</f>
        <v>9789185895199</v>
      </c>
    </row>
    <row r="2895" spans="1:4" x14ac:dyDescent="0.25">
      <c r="A2895" s="7" t="s">
        <v>13421</v>
      </c>
      <c r="B2895" s="8" t="s">
        <v>196</v>
      </c>
      <c r="C2895" s="8" t="s">
        <v>2273</v>
      </c>
      <c r="D2895" s="8" t="str">
        <f>"9783031143502"</f>
        <v>9783031143502</v>
      </c>
    </row>
    <row r="2896" spans="1:4" x14ac:dyDescent="0.25">
      <c r="A2896" s="7" t="s">
        <v>16327</v>
      </c>
      <c r="B2896" s="8" t="s">
        <v>16328</v>
      </c>
      <c r="C2896" s="8" t="s">
        <v>1865</v>
      </c>
      <c r="D2896" s="8" t="str">
        <f>"9789175197753"</f>
        <v>9789175197753</v>
      </c>
    </row>
    <row r="2897" spans="1:4" x14ac:dyDescent="0.25">
      <c r="A2897" s="7" t="s">
        <v>14144</v>
      </c>
      <c r="B2897" s="8" t="s">
        <v>14145</v>
      </c>
      <c r="C2897" s="8" t="s">
        <v>5107</v>
      </c>
      <c r="D2897" s="8" t="str">
        <f>"9784431569312"</f>
        <v>9784431569312</v>
      </c>
    </row>
    <row r="2898" spans="1:4" x14ac:dyDescent="0.25">
      <c r="A2898" s="7" t="s">
        <v>11348</v>
      </c>
      <c r="B2898" s="8" t="s">
        <v>11349</v>
      </c>
      <c r="C2898" s="8" t="s">
        <v>355</v>
      </c>
      <c r="D2898" s="8" t="str">
        <f>"9783110602289"</f>
        <v>9783110602289</v>
      </c>
    </row>
    <row r="2899" spans="1:4" ht="30" x14ac:dyDescent="0.25">
      <c r="A2899" s="7" t="s">
        <v>10257</v>
      </c>
      <c r="B2899" s="8" t="s">
        <v>10258</v>
      </c>
      <c r="C2899" s="8" t="s">
        <v>993</v>
      </c>
      <c r="D2899" s="8" t="str">
        <f>"9783839446386"</f>
        <v>9783839446386</v>
      </c>
    </row>
    <row r="2900" spans="1:4" ht="30" x14ac:dyDescent="0.25">
      <c r="A2900" s="7" t="s">
        <v>6387</v>
      </c>
      <c r="B2900" s="8" t="s">
        <v>6388</v>
      </c>
      <c r="C2900" s="8" t="s">
        <v>1865</v>
      </c>
      <c r="D2900" s="8" t="str">
        <f>"9789179297275"</f>
        <v>9789179297275</v>
      </c>
    </row>
    <row r="2901" spans="1:4" x14ac:dyDescent="0.25">
      <c r="A2901" s="7" t="s">
        <v>9059</v>
      </c>
      <c r="B2901" s="8" t="s">
        <v>4500</v>
      </c>
      <c r="C2901" s="8" t="s">
        <v>562</v>
      </c>
      <c r="D2901" s="8" t="str">
        <f>"9781478091691"</f>
        <v>9781478091691</v>
      </c>
    </row>
    <row r="2902" spans="1:4" x14ac:dyDescent="0.25">
      <c r="A2902" s="7" t="s">
        <v>16121</v>
      </c>
      <c r="B2902" s="8" t="s">
        <v>16122</v>
      </c>
      <c r="C2902" s="8" t="s">
        <v>1865</v>
      </c>
      <c r="D2902" s="8" t="str">
        <f>"9789179295363"</f>
        <v>9789179295363</v>
      </c>
    </row>
    <row r="2903" spans="1:4" ht="30" x14ac:dyDescent="0.25">
      <c r="A2903" s="7" t="s">
        <v>13493</v>
      </c>
      <c r="B2903" s="8" t="s">
        <v>13494</v>
      </c>
      <c r="C2903" s="8" t="s">
        <v>2274</v>
      </c>
      <c r="D2903" s="8" t="str">
        <f>"9789811937477"</f>
        <v>9789811937477</v>
      </c>
    </row>
    <row r="2904" spans="1:4" x14ac:dyDescent="0.25">
      <c r="A2904" s="7" t="s">
        <v>6616</v>
      </c>
      <c r="B2904" s="8" t="s">
        <v>6617</v>
      </c>
      <c r="C2904" s="8" t="s">
        <v>1865</v>
      </c>
      <c r="D2904" s="8" t="str">
        <f>"9789179296773"</f>
        <v>9789179296773</v>
      </c>
    </row>
    <row r="2905" spans="1:4" x14ac:dyDescent="0.25">
      <c r="A2905" s="7" t="s">
        <v>14875</v>
      </c>
      <c r="B2905" s="8" t="s">
        <v>14876</v>
      </c>
      <c r="C2905" s="8" t="s">
        <v>1865</v>
      </c>
      <c r="D2905" s="8" t="str">
        <f>"9789175194752"</f>
        <v>9789175194752</v>
      </c>
    </row>
    <row r="2906" spans="1:4" x14ac:dyDescent="0.25">
      <c r="A2906" s="7" t="s">
        <v>15819</v>
      </c>
      <c r="B2906" s="8" t="s">
        <v>15820</v>
      </c>
      <c r="C2906" s="8" t="s">
        <v>1865</v>
      </c>
      <c r="D2906" s="8" t="str">
        <f>"9789175197111"</f>
        <v>9789175197111</v>
      </c>
    </row>
    <row r="2907" spans="1:4" x14ac:dyDescent="0.25">
      <c r="A2907" s="7" t="s">
        <v>11108</v>
      </c>
      <c r="B2907" s="8" t="s">
        <v>11109</v>
      </c>
      <c r="C2907" s="8" t="s">
        <v>6704</v>
      </c>
      <c r="D2907" s="8" t="str">
        <f>"9780472901951"</f>
        <v>9780472901951</v>
      </c>
    </row>
    <row r="2908" spans="1:4" x14ac:dyDescent="0.25">
      <c r="A2908" s="7" t="s">
        <v>11776</v>
      </c>
      <c r="B2908" s="8" t="s">
        <v>11777</v>
      </c>
      <c r="C2908" s="8" t="s">
        <v>355</v>
      </c>
      <c r="D2908" s="8" t="str">
        <f>"9783110720297"</f>
        <v>9783110720297</v>
      </c>
    </row>
    <row r="2909" spans="1:4" x14ac:dyDescent="0.25">
      <c r="A2909" s="7" t="s">
        <v>4824</v>
      </c>
      <c r="B2909" s="8" t="s">
        <v>4825</v>
      </c>
      <c r="C2909" s="8" t="s">
        <v>1865</v>
      </c>
      <c r="D2909" s="8" t="str">
        <f>"9789179299217"</f>
        <v>9789179299217</v>
      </c>
    </row>
    <row r="2910" spans="1:4" x14ac:dyDescent="0.25">
      <c r="A2910" s="7" t="s">
        <v>9318</v>
      </c>
      <c r="B2910" s="8" t="s">
        <v>9319</v>
      </c>
      <c r="C2910" s="8" t="s">
        <v>9256</v>
      </c>
      <c r="D2910" s="8" t="str">
        <f>"9788021095014"</f>
        <v>9788021095014</v>
      </c>
    </row>
    <row r="2911" spans="1:4" x14ac:dyDescent="0.25">
      <c r="A2911" s="7" t="s">
        <v>9318</v>
      </c>
      <c r="B2911" s="8" t="s">
        <v>9319</v>
      </c>
      <c r="C2911" s="8" t="s">
        <v>9256</v>
      </c>
      <c r="D2911" s="8" t="str">
        <f>"9788021099067"</f>
        <v>9788021099067</v>
      </c>
    </row>
    <row r="2912" spans="1:4" x14ac:dyDescent="0.25">
      <c r="A2912" s="7" t="s">
        <v>13432</v>
      </c>
      <c r="B2912" s="8" t="s">
        <v>13433</v>
      </c>
      <c r="C2912" s="8" t="s">
        <v>2273</v>
      </c>
      <c r="D2912" s="8" t="str">
        <f>"9783030975401"</f>
        <v>9783030975401</v>
      </c>
    </row>
    <row r="2913" spans="1:4" ht="30" x14ac:dyDescent="0.25">
      <c r="A2913" s="7" t="s">
        <v>15529</v>
      </c>
      <c r="B2913" s="8" t="s">
        <v>15530</v>
      </c>
      <c r="C2913" s="8" t="s">
        <v>1865</v>
      </c>
      <c r="D2913" s="8" t="str">
        <f>"9789176850824"</f>
        <v>9789176850824</v>
      </c>
    </row>
    <row r="2914" spans="1:4" x14ac:dyDescent="0.25">
      <c r="A2914" s="7" t="s">
        <v>14460</v>
      </c>
      <c r="B2914" s="8" t="s">
        <v>14461</v>
      </c>
      <c r="C2914" s="8" t="s">
        <v>1865</v>
      </c>
      <c r="D2914" s="8" t="str">
        <f>"9789179294434"</f>
        <v>9789179294434</v>
      </c>
    </row>
    <row r="2915" spans="1:4" x14ac:dyDescent="0.25">
      <c r="A2915" s="7" t="s">
        <v>800</v>
      </c>
      <c r="B2915" s="8" t="s">
        <v>801</v>
      </c>
      <c r="C2915" s="8" t="s">
        <v>355</v>
      </c>
      <c r="D2915" s="8" t="str">
        <f>"9783110368123"</f>
        <v>9783110368123</v>
      </c>
    </row>
    <row r="2916" spans="1:4" x14ac:dyDescent="0.25">
      <c r="A2916" s="7" t="s">
        <v>14526</v>
      </c>
      <c r="B2916" s="8" t="s">
        <v>14527</v>
      </c>
      <c r="C2916" s="8" t="s">
        <v>1865</v>
      </c>
      <c r="D2916" s="8" t="str">
        <f>"9789179292782"</f>
        <v>9789179292782</v>
      </c>
    </row>
    <row r="2917" spans="1:4" ht="30" x14ac:dyDescent="0.25">
      <c r="A2917" s="7" t="s">
        <v>4177</v>
      </c>
      <c r="B2917" s="8" t="s">
        <v>4178</v>
      </c>
      <c r="C2917" s="8" t="s">
        <v>1865</v>
      </c>
      <c r="D2917" s="8" t="str">
        <f>"9789176851944"</f>
        <v>9789176851944</v>
      </c>
    </row>
    <row r="2918" spans="1:4" x14ac:dyDescent="0.25">
      <c r="A2918" s="7" t="s">
        <v>11030</v>
      </c>
      <c r="B2918" s="8" t="s">
        <v>11031</v>
      </c>
      <c r="C2918" s="8" t="s">
        <v>2273</v>
      </c>
      <c r="D2918" s="8" t="str">
        <f>"9783030958800"</f>
        <v>9783030958800</v>
      </c>
    </row>
    <row r="2919" spans="1:4" ht="30" x14ac:dyDescent="0.25">
      <c r="A2919" s="7" t="s">
        <v>14545</v>
      </c>
      <c r="B2919" s="8" t="s">
        <v>14546</v>
      </c>
      <c r="C2919" s="8" t="s">
        <v>1865</v>
      </c>
      <c r="D2919" s="8" t="str">
        <f>"9789179294847"</f>
        <v>9789179294847</v>
      </c>
    </row>
    <row r="2920" spans="1:4" x14ac:dyDescent="0.25">
      <c r="A2920" s="7" t="s">
        <v>16291</v>
      </c>
      <c r="B2920" s="8" t="s">
        <v>16292</v>
      </c>
      <c r="C2920" s="8" t="s">
        <v>1865</v>
      </c>
      <c r="D2920" s="8" t="str">
        <f>"9789175199740"</f>
        <v>9789175199740</v>
      </c>
    </row>
    <row r="2921" spans="1:4" x14ac:dyDescent="0.25">
      <c r="A2921" s="7" t="s">
        <v>5189</v>
      </c>
      <c r="B2921" s="8" t="s">
        <v>5190</v>
      </c>
      <c r="C2921" s="8" t="s">
        <v>1865</v>
      </c>
      <c r="D2921" s="8" t="str">
        <f>"9789179297947"</f>
        <v>9789179297947</v>
      </c>
    </row>
    <row r="2922" spans="1:4" x14ac:dyDescent="0.25">
      <c r="A2922" s="7" t="s">
        <v>15954</v>
      </c>
      <c r="B2922" s="8" t="s">
        <v>5190</v>
      </c>
      <c r="C2922" s="8" t="s">
        <v>1865</v>
      </c>
      <c r="D2922" s="8" t="str">
        <f>"9789176852675"</f>
        <v>9789176852675</v>
      </c>
    </row>
    <row r="2923" spans="1:4" x14ac:dyDescent="0.25">
      <c r="A2923" s="7" t="s">
        <v>16349</v>
      </c>
      <c r="B2923" s="8" t="s">
        <v>16350</v>
      </c>
      <c r="C2923" s="8" t="s">
        <v>1865</v>
      </c>
      <c r="D2923" s="8" t="str">
        <f>"9789179299613"</f>
        <v>9789179299613</v>
      </c>
    </row>
    <row r="2924" spans="1:4" x14ac:dyDescent="0.25">
      <c r="A2924" s="7" t="s">
        <v>16123</v>
      </c>
      <c r="B2924" s="8" t="s">
        <v>16124</v>
      </c>
      <c r="C2924" s="8" t="s">
        <v>1865</v>
      </c>
      <c r="D2924" s="8" t="str">
        <f>"9789175192963"</f>
        <v>9789175192963</v>
      </c>
    </row>
    <row r="2925" spans="1:4" x14ac:dyDescent="0.25">
      <c r="A2925" s="7" t="s">
        <v>15413</v>
      </c>
      <c r="B2925" s="8" t="s">
        <v>15414</v>
      </c>
      <c r="C2925" s="8" t="s">
        <v>1865</v>
      </c>
      <c r="D2925" s="8" t="str">
        <f>"9789175190419"</f>
        <v>9789175190419</v>
      </c>
    </row>
    <row r="2926" spans="1:4" ht="30" x14ac:dyDescent="0.25">
      <c r="A2926" s="7" t="s">
        <v>14576</v>
      </c>
      <c r="B2926" s="8" t="s">
        <v>14577</v>
      </c>
      <c r="C2926" s="8" t="s">
        <v>1865</v>
      </c>
      <c r="D2926" s="8" t="str">
        <f>"9789179292379"</f>
        <v>9789179292379</v>
      </c>
    </row>
    <row r="2927" spans="1:4" ht="30" x14ac:dyDescent="0.25">
      <c r="A2927" s="7" t="s">
        <v>5353</v>
      </c>
      <c r="B2927" s="8" t="s">
        <v>5354</v>
      </c>
      <c r="C2927" s="8" t="s">
        <v>1865</v>
      </c>
      <c r="D2927" s="8" t="str">
        <f>"9789179298654"</f>
        <v>9789179298654</v>
      </c>
    </row>
    <row r="2928" spans="1:4" x14ac:dyDescent="0.25">
      <c r="A2928" s="7" t="s">
        <v>3944</v>
      </c>
      <c r="B2928" s="8" t="s">
        <v>3945</v>
      </c>
      <c r="C2928" s="8" t="s">
        <v>1879</v>
      </c>
      <c r="D2928" s="8" t="str">
        <f>"9781783743957"</f>
        <v>9781783743957</v>
      </c>
    </row>
    <row r="2929" spans="1:4" x14ac:dyDescent="0.25">
      <c r="A2929" s="7" t="s">
        <v>14691</v>
      </c>
      <c r="B2929" s="8" t="s">
        <v>14692</v>
      </c>
      <c r="C2929" s="8" t="s">
        <v>1865</v>
      </c>
      <c r="D2929" s="8" t="str">
        <f>"9789179291266"</f>
        <v>9789179291266</v>
      </c>
    </row>
    <row r="2930" spans="1:4" ht="30" x14ac:dyDescent="0.25">
      <c r="A2930" s="7" t="s">
        <v>3719</v>
      </c>
      <c r="B2930" s="8" t="s">
        <v>3720</v>
      </c>
      <c r="C2930" s="8" t="s">
        <v>1865</v>
      </c>
      <c r="D2930" s="8" t="str">
        <f>"9789176852798"</f>
        <v>9789176852798</v>
      </c>
    </row>
    <row r="2931" spans="1:4" ht="30" x14ac:dyDescent="0.25">
      <c r="A2931" s="7" t="s">
        <v>16003</v>
      </c>
      <c r="B2931" s="8" t="s">
        <v>16004</v>
      </c>
      <c r="C2931" s="8" t="s">
        <v>1865</v>
      </c>
      <c r="D2931" s="8" t="str">
        <f>"9789176857465"</f>
        <v>9789176857465</v>
      </c>
    </row>
    <row r="2932" spans="1:4" x14ac:dyDescent="0.25">
      <c r="A2932" s="7" t="s">
        <v>11675</v>
      </c>
      <c r="B2932" s="8" t="s">
        <v>11676</v>
      </c>
      <c r="C2932" s="8" t="s">
        <v>355</v>
      </c>
      <c r="D2932" s="8" t="str">
        <f>"9783110753301"</f>
        <v>9783110753301</v>
      </c>
    </row>
    <row r="2933" spans="1:4" x14ac:dyDescent="0.25">
      <c r="A2933" s="7" t="s">
        <v>9692</v>
      </c>
      <c r="B2933" s="8" t="s">
        <v>9693</v>
      </c>
      <c r="C2933" s="8" t="s">
        <v>993</v>
      </c>
      <c r="D2933" s="8" t="str">
        <f>"9783839401743"</f>
        <v>9783839401743</v>
      </c>
    </row>
    <row r="2934" spans="1:4" ht="30" x14ac:dyDescent="0.25">
      <c r="A2934" s="7" t="s">
        <v>4674</v>
      </c>
      <c r="B2934" s="8" t="s">
        <v>4675</v>
      </c>
      <c r="C2934" s="8" t="s">
        <v>1865</v>
      </c>
      <c r="D2934" s="8" t="str">
        <f>"9789176850060"</f>
        <v>9789176850060</v>
      </c>
    </row>
    <row r="2935" spans="1:4" x14ac:dyDescent="0.25">
      <c r="A2935" s="7" t="s">
        <v>9857</v>
      </c>
      <c r="B2935" s="8" t="s">
        <v>147</v>
      </c>
      <c r="C2935" s="8" t="s">
        <v>993</v>
      </c>
      <c r="D2935" s="8" t="str">
        <f>"9783839406731"</f>
        <v>9783839406731</v>
      </c>
    </row>
    <row r="2936" spans="1:4" x14ac:dyDescent="0.25">
      <c r="A2936" s="7" t="s">
        <v>11669</v>
      </c>
      <c r="B2936" s="8" t="s">
        <v>11670</v>
      </c>
      <c r="C2936" s="8" t="s">
        <v>355</v>
      </c>
      <c r="D2936" s="8" t="str">
        <f>"9783110671483"</f>
        <v>9783110671483</v>
      </c>
    </row>
    <row r="2937" spans="1:4" x14ac:dyDescent="0.25">
      <c r="A2937" s="7" t="s">
        <v>15650</v>
      </c>
      <c r="B2937" s="8" t="s">
        <v>15651</v>
      </c>
      <c r="C2937" s="8" t="s">
        <v>1865</v>
      </c>
      <c r="D2937" s="8" t="str">
        <f>"9789175197968"</f>
        <v>9789175197968</v>
      </c>
    </row>
    <row r="2938" spans="1:4" ht="30" x14ac:dyDescent="0.25">
      <c r="A2938" s="7" t="s">
        <v>15970</v>
      </c>
      <c r="B2938" s="8" t="s">
        <v>15971</v>
      </c>
      <c r="C2938" s="8" t="s">
        <v>1865</v>
      </c>
      <c r="D2938" s="8" t="str">
        <f>"9789175199382"</f>
        <v>9789175199382</v>
      </c>
    </row>
    <row r="2939" spans="1:4" ht="30" x14ac:dyDescent="0.25">
      <c r="A2939" s="7" t="s">
        <v>16220</v>
      </c>
      <c r="B2939" s="8" t="s">
        <v>16221</v>
      </c>
      <c r="C2939" s="8" t="s">
        <v>1865</v>
      </c>
      <c r="D2939" s="8" t="str">
        <f>"9789175194042"</f>
        <v>9789175194042</v>
      </c>
    </row>
    <row r="2940" spans="1:4" x14ac:dyDescent="0.25">
      <c r="A2940" s="7" t="s">
        <v>15759</v>
      </c>
      <c r="B2940" s="8" t="s">
        <v>4454</v>
      </c>
      <c r="C2940" s="8" t="s">
        <v>1865</v>
      </c>
      <c r="D2940" s="8" t="str">
        <f>"9789176855249"</f>
        <v>9789176855249</v>
      </c>
    </row>
    <row r="2941" spans="1:4" ht="30" x14ac:dyDescent="0.25">
      <c r="A2941" s="7" t="s">
        <v>10401</v>
      </c>
      <c r="B2941" s="8" t="s">
        <v>10402</v>
      </c>
      <c r="C2941" s="8" t="s">
        <v>993</v>
      </c>
      <c r="D2941" s="8" t="str">
        <f>"9783839455098"</f>
        <v>9783839455098</v>
      </c>
    </row>
    <row r="2942" spans="1:4" ht="30" x14ac:dyDescent="0.25">
      <c r="A2942" s="7" t="s">
        <v>13773</v>
      </c>
      <c r="B2942" s="8" t="s">
        <v>13774</v>
      </c>
      <c r="C2942" s="8" t="s">
        <v>2273</v>
      </c>
      <c r="D2942" s="8" t="str">
        <f>"9783031192463"</f>
        <v>9783031192463</v>
      </c>
    </row>
    <row r="2943" spans="1:4" x14ac:dyDescent="0.25">
      <c r="A2943" s="7" t="s">
        <v>12956</v>
      </c>
      <c r="B2943" s="8" t="s">
        <v>12935</v>
      </c>
      <c r="C2943" s="8" t="s">
        <v>12712</v>
      </c>
      <c r="D2943" s="8" t="str">
        <f>"9783428456819"</f>
        <v>9783428456819</v>
      </c>
    </row>
    <row r="2944" spans="1:4" ht="30" x14ac:dyDescent="0.25">
      <c r="A2944" s="7" t="s">
        <v>4086</v>
      </c>
      <c r="B2944" s="8" t="s">
        <v>4087</v>
      </c>
      <c r="C2944" s="8" t="s">
        <v>355</v>
      </c>
      <c r="D2944" s="8" t="str">
        <f>"9783110568509"</f>
        <v>9783110568509</v>
      </c>
    </row>
    <row r="2945" spans="1:4" ht="30" x14ac:dyDescent="0.25">
      <c r="A2945" s="7" t="s">
        <v>911</v>
      </c>
      <c r="B2945" s="8" t="s">
        <v>912</v>
      </c>
      <c r="C2945" s="8" t="s">
        <v>329</v>
      </c>
      <c r="D2945" s="8" t="str">
        <f>"9789048519552"</f>
        <v>9789048519552</v>
      </c>
    </row>
    <row r="2946" spans="1:4" x14ac:dyDescent="0.25">
      <c r="A2946" s="7" t="s">
        <v>2746</v>
      </c>
      <c r="B2946" s="8" t="s">
        <v>2747</v>
      </c>
      <c r="C2946" s="8" t="s">
        <v>316</v>
      </c>
      <c r="D2946" s="8" t="str">
        <f>"9783110418163"</f>
        <v>9783110418163</v>
      </c>
    </row>
    <row r="2947" spans="1:4" ht="30" x14ac:dyDescent="0.25">
      <c r="A2947" s="7" t="s">
        <v>1545</v>
      </c>
      <c r="B2947" s="8" t="s">
        <v>1546</v>
      </c>
      <c r="C2947" s="8" t="s">
        <v>1345</v>
      </c>
      <c r="D2947" s="8" t="str">
        <f>"9783862192854"</f>
        <v>9783862192854</v>
      </c>
    </row>
    <row r="2948" spans="1:4" x14ac:dyDescent="0.25">
      <c r="A2948" s="7" t="s">
        <v>16333</v>
      </c>
      <c r="B2948" s="8" t="s">
        <v>16294</v>
      </c>
      <c r="C2948" s="8" t="s">
        <v>1865</v>
      </c>
      <c r="D2948" s="8" t="str">
        <f>"9789176858417"</f>
        <v>9789176858417</v>
      </c>
    </row>
    <row r="2949" spans="1:4" x14ac:dyDescent="0.25">
      <c r="A2949" s="7" t="s">
        <v>15063</v>
      </c>
      <c r="B2949" s="8" t="s">
        <v>15064</v>
      </c>
      <c r="C2949" s="8" t="s">
        <v>1865</v>
      </c>
      <c r="D2949" s="8" t="str">
        <f>"9789175197197"</f>
        <v>9789175197197</v>
      </c>
    </row>
    <row r="2950" spans="1:4" ht="30" x14ac:dyDescent="0.25">
      <c r="A2950" s="7" t="s">
        <v>3684</v>
      </c>
      <c r="B2950" s="8" t="s">
        <v>3685</v>
      </c>
      <c r="C2950" s="8" t="s">
        <v>1865</v>
      </c>
      <c r="D2950" s="8" t="str">
        <f>"9789176853221"</f>
        <v>9789176853221</v>
      </c>
    </row>
    <row r="2951" spans="1:4" x14ac:dyDescent="0.25">
      <c r="A2951" s="7" t="s">
        <v>11633</v>
      </c>
      <c r="B2951" s="8" t="s">
        <v>11634</v>
      </c>
      <c r="C2951" s="8" t="s">
        <v>355</v>
      </c>
      <c r="D2951" s="8" t="str">
        <f>"9783110624519"</f>
        <v>9783110624519</v>
      </c>
    </row>
    <row r="2952" spans="1:4" x14ac:dyDescent="0.25">
      <c r="A2952" s="7" t="s">
        <v>15870</v>
      </c>
      <c r="B2952" s="8" t="s">
        <v>15871</v>
      </c>
      <c r="C2952" s="8" t="s">
        <v>1865</v>
      </c>
      <c r="D2952" s="8" t="str">
        <f>"9789175194509"</f>
        <v>9789175194509</v>
      </c>
    </row>
    <row r="2953" spans="1:4" x14ac:dyDescent="0.25">
      <c r="A2953" s="7" t="s">
        <v>5329</v>
      </c>
      <c r="B2953" s="8" t="s">
        <v>1960</v>
      </c>
      <c r="C2953" s="8" t="s">
        <v>2273</v>
      </c>
      <c r="D2953" s="8" t="str">
        <f>"9783319582955"</f>
        <v>9783319582955</v>
      </c>
    </row>
    <row r="2954" spans="1:4" x14ac:dyDescent="0.25">
      <c r="A2954" s="7" t="s">
        <v>2773</v>
      </c>
      <c r="B2954" s="8" t="s">
        <v>2774</v>
      </c>
      <c r="C2954" s="8" t="s">
        <v>1345</v>
      </c>
      <c r="D2954" s="8" t="str">
        <f>"9783737601719"</f>
        <v>9783737601719</v>
      </c>
    </row>
    <row r="2955" spans="1:4" ht="30" x14ac:dyDescent="0.25">
      <c r="A2955" s="7" t="s">
        <v>14862</v>
      </c>
      <c r="B2955" s="8" t="s">
        <v>14863</v>
      </c>
      <c r="C2955" s="8" t="s">
        <v>1865</v>
      </c>
      <c r="D2955" s="8" t="str">
        <f>"9789176855942"</f>
        <v>9789176855942</v>
      </c>
    </row>
    <row r="2956" spans="1:4" x14ac:dyDescent="0.25">
      <c r="A2956" s="7" t="s">
        <v>13690</v>
      </c>
      <c r="B2956" s="8" t="s">
        <v>13691</v>
      </c>
      <c r="C2956" s="8" t="s">
        <v>2273</v>
      </c>
      <c r="D2956" s="8" t="str">
        <f>"9783031161162"</f>
        <v>9783031161162</v>
      </c>
    </row>
    <row r="2957" spans="1:4" ht="30" x14ac:dyDescent="0.25">
      <c r="A2957" s="7" t="s">
        <v>1194</v>
      </c>
      <c r="B2957" s="8" t="s">
        <v>1195</v>
      </c>
      <c r="C2957" s="8" t="s">
        <v>355</v>
      </c>
      <c r="D2957" s="8" t="str">
        <f>"9783486840148"</f>
        <v>9783486840148</v>
      </c>
    </row>
    <row r="2958" spans="1:4" x14ac:dyDescent="0.25">
      <c r="A2958" s="7" t="s">
        <v>11569</v>
      </c>
      <c r="B2958" s="8" t="s">
        <v>11570</v>
      </c>
      <c r="C2958" s="8" t="s">
        <v>355</v>
      </c>
      <c r="D2958" s="8" t="str">
        <f>"9783110714333"</f>
        <v>9783110714333</v>
      </c>
    </row>
    <row r="2959" spans="1:4" x14ac:dyDescent="0.25">
      <c r="A2959" s="7" t="s">
        <v>8295</v>
      </c>
      <c r="B2959" s="8" t="s">
        <v>8296</v>
      </c>
      <c r="C2959" s="8" t="s">
        <v>993</v>
      </c>
      <c r="D2959" s="8" t="str">
        <f>"9783839437629"</f>
        <v>9783839437629</v>
      </c>
    </row>
    <row r="2960" spans="1:4" ht="30" x14ac:dyDescent="0.25">
      <c r="A2960" s="7" t="s">
        <v>5936</v>
      </c>
      <c r="B2960" s="8" t="s">
        <v>5937</v>
      </c>
      <c r="C2960" s="8" t="s">
        <v>2273</v>
      </c>
      <c r="D2960" s="8" t="str">
        <f>"9783030586416"</f>
        <v>9783030586416</v>
      </c>
    </row>
    <row r="2961" spans="1:4" x14ac:dyDescent="0.25">
      <c r="A2961" s="7" t="s">
        <v>12999</v>
      </c>
      <c r="B2961" s="8" t="s">
        <v>12972</v>
      </c>
      <c r="C2961" s="8" t="s">
        <v>12712</v>
      </c>
      <c r="D2961" s="8" t="str">
        <f>"9783428464326"</f>
        <v>9783428464326</v>
      </c>
    </row>
    <row r="2962" spans="1:4" ht="30" x14ac:dyDescent="0.25">
      <c r="A2962" s="7" t="s">
        <v>14304</v>
      </c>
      <c r="B2962" s="8" t="s">
        <v>14305</v>
      </c>
      <c r="C2962" s="8" t="s">
        <v>5086</v>
      </c>
      <c r="D2962" s="8" t="str">
        <f>"9783658396640"</f>
        <v>9783658396640</v>
      </c>
    </row>
    <row r="2963" spans="1:4" x14ac:dyDescent="0.25">
      <c r="A2963" s="7" t="s">
        <v>3196</v>
      </c>
      <c r="B2963" s="8" t="s">
        <v>3197</v>
      </c>
      <c r="C2963" s="8" t="s">
        <v>1865</v>
      </c>
      <c r="D2963" s="8" t="str">
        <f>"9789176855928"</f>
        <v>9789176855928</v>
      </c>
    </row>
    <row r="2964" spans="1:4" x14ac:dyDescent="0.25">
      <c r="A2964" s="7" t="s">
        <v>13506</v>
      </c>
      <c r="B2964" s="8" t="s">
        <v>13507</v>
      </c>
      <c r="C2964" s="8" t="s">
        <v>2273</v>
      </c>
      <c r="D2964" s="8" t="str">
        <f>"9783031122248"</f>
        <v>9783031122248</v>
      </c>
    </row>
    <row r="2965" spans="1:4" x14ac:dyDescent="0.25">
      <c r="A2965" s="7" t="s">
        <v>11161</v>
      </c>
      <c r="B2965" s="8" t="s">
        <v>11162</v>
      </c>
      <c r="C2965" s="8" t="s">
        <v>316</v>
      </c>
      <c r="D2965" s="8" t="str">
        <f>"9781501503191"</f>
        <v>9781501503191</v>
      </c>
    </row>
    <row r="2966" spans="1:4" x14ac:dyDescent="0.25">
      <c r="A2966" s="7" t="s">
        <v>889</v>
      </c>
      <c r="B2966" s="8" t="s">
        <v>890</v>
      </c>
      <c r="C2966" s="8" t="s">
        <v>355</v>
      </c>
      <c r="D2966" s="8" t="str">
        <f>"9783110402490"</f>
        <v>9783110402490</v>
      </c>
    </row>
    <row r="2967" spans="1:4" ht="30" x14ac:dyDescent="0.25">
      <c r="A2967" s="7" t="s">
        <v>15355</v>
      </c>
      <c r="B2967" s="8" t="s">
        <v>15356</v>
      </c>
      <c r="C2967" s="8" t="s">
        <v>1865</v>
      </c>
      <c r="D2967" s="8" t="str">
        <f>"9789176859797"</f>
        <v>9789176859797</v>
      </c>
    </row>
    <row r="2968" spans="1:4" ht="30" x14ac:dyDescent="0.25">
      <c r="A2968" s="7" t="s">
        <v>2420</v>
      </c>
      <c r="B2968" s="8" t="s">
        <v>2421</v>
      </c>
      <c r="C2968" s="8" t="s">
        <v>1865</v>
      </c>
      <c r="D2968" s="8" t="str">
        <f>"9789176859803"</f>
        <v>9789176859803</v>
      </c>
    </row>
    <row r="2969" spans="1:4" ht="30" x14ac:dyDescent="0.25">
      <c r="A2969" s="7" t="s">
        <v>16167</v>
      </c>
      <c r="B2969" s="8" t="s">
        <v>16168</v>
      </c>
      <c r="C2969" s="8" t="s">
        <v>1865</v>
      </c>
      <c r="D2969" s="8" t="str">
        <f>"9789176856611"</f>
        <v>9789176856611</v>
      </c>
    </row>
    <row r="2970" spans="1:4" x14ac:dyDescent="0.25">
      <c r="A2970" s="7" t="s">
        <v>3850</v>
      </c>
      <c r="B2970" s="8" t="s">
        <v>3851</v>
      </c>
      <c r="C2970" s="8" t="s">
        <v>316</v>
      </c>
      <c r="D2970" s="8" t="str">
        <f>"9783110500882"</f>
        <v>9783110500882</v>
      </c>
    </row>
    <row r="2971" spans="1:4" ht="30" x14ac:dyDescent="0.25">
      <c r="A2971" s="7" t="s">
        <v>3021</v>
      </c>
      <c r="B2971" s="8" t="s">
        <v>3022</v>
      </c>
      <c r="C2971" s="8" t="s">
        <v>1345</v>
      </c>
      <c r="D2971" s="8" t="str">
        <f>"9783737602259"</f>
        <v>9783737602259</v>
      </c>
    </row>
    <row r="2972" spans="1:4" x14ac:dyDescent="0.25">
      <c r="A2972" s="7" t="s">
        <v>2186</v>
      </c>
      <c r="B2972" s="8" t="s">
        <v>2187</v>
      </c>
      <c r="C2972" s="8" t="s">
        <v>329</v>
      </c>
      <c r="D2972" s="8" t="str">
        <f>"9789048527557"</f>
        <v>9789048527557</v>
      </c>
    </row>
    <row r="2973" spans="1:4" x14ac:dyDescent="0.25">
      <c r="A2973" s="7" t="s">
        <v>7639</v>
      </c>
      <c r="B2973" s="8" t="s">
        <v>7640</v>
      </c>
      <c r="C2973" s="8" t="s">
        <v>993</v>
      </c>
      <c r="D2973" s="8" t="str">
        <f>"9783839424377"</f>
        <v>9783839424377</v>
      </c>
    </row>
    <row r="2974" spans="1:4" x14ac:dyDescent="0.25">
      <c r="A2974" s="7" t="s">
        <v>14818</v>
      </c>
      <c r="B2974" s="8" t="s">
        <v>14819</v>
      </c>
      <c r="C2974" s="8" t="s">
        <v>1865</v>
      </c>
      <c r="D2974" s="8" t="str">
        <f>"9789175195063"</f>
        <v>9789175195063</v>
      </c>
    </row>
    <row r="2975" spans="1:4" ht="30" x14ac:dyDescent="0.25">
      <c r="A2975" s="7" t="s">
        <v>14476</v>
      </c>
      <c r="B2975" s="8" t="s">
        <v>14477</v>
      </c>
      <c r="C2975" s="8" t="s">
        <v>1865</v>
      </c>
      <c r="D2975" s="8" t="str">
        <f>"9789179290924"</f>
        <v>9789179290924</v>
      </c>
    </row>
    <row r="2976" spans="1:4" x14ac:dyDescent="0.25">
      <c r="A2976" s="7" t="s">
        <v>410</v>
      </c>
      <c r="B2976" s="8" t="s">
        <v>411</v>
      </c>
      <c r="C2976" s="8" t="s">
        <v>227</v>
      </c>
      <c r="D2976" s="8" t="str">
        <f>"9781847791061"</f>
        <v>9781847791061</v>
      </c>
    </row>
    <row r="2977" spans="1:4" ht="45" x14ac:dyDescent="0.25">
      <c r="A2977" s="7" t="s">
        <v>14378</v>
      </c>
      <c r="B2977" s="8" t="s">
        <v>14379</v>
      </c>
      <c r="C2977" s="8" t="s">
        <v>1865</v>
      </c>
      <c r="D2977" s="8" t="str">
        <f>"9789179294519"</f>
        <v>9789179294519</v>
      </c>
    </row>
    <row r="2978" spans="1:4" ht="30" x14ac:dyDescent="0.25">
      <c r="A2978" s="7" t="s">
        <v>14496</v>
      </c>
      <c r="B2978" s="8" t="s">
        <v>14483</v>
      </c>
      <c r="C2978" s="8" t="s">
        <v>1865</v>
      </c>
      <c r="D2978" s="8" t="str">
        <f>"9789179294199"</f>
        <v>9789179294199</v>
      </c>
    </row>
    <row r="2979" spans="1:4" ht="30" x14ac:dyDescent="0.25">
      <c r="A2979" s="7" t="s">
        <v>3572</v>
      </c>
      <c r="B2979" s="8" t="s">
        <v>3573</v>
      </c>
      <c r="C2979" s="8" t="s">
        <v>1865</v>
      </c>
      <c r="D2979" s="8" t="str">
        <f>"9789176853900"</f>
        <v>9789176853900</v>
      </c>
    </row>
    <row r="2980" spans="1:4" x14ac:dyDescent="0.25">
      <c r="A2980" s="7" t="s">
        <v>14787</v>
      </c>
      <c r="B2980" s="8" t="s">
        <v>3573</v>
      </c>
      <c r="C2980" s="8" t="s">
        <v>1865</v>
      </c>
      <c r="D2980" s="8" t="str">
        <f>"9789175190235"</f>
        <v>9789175190235</v>
      </c>
    </row>
    <row r="2981" spans="1:4" x14ac:dyDescent="0.25">
      <c r="A2981" s="7" t="s">
        <v>15138</v>
      </c>
      <c r="B2981" s="8" t="s">
        <v>7881</v>
      </c>
      <c r="C2981" s="8" t="s">
        <v>1865</v>
      </c>
      <c r="D2981" s="8" t="str">
        <f>"9789176855386"</f>
        <v>9789176855386</v>
      </c>
    </row>
    <row r="2982" spans="1:4" ht="30" x14ac:dyDescent="0.25">
      <c r="A2982" s="7" t="s">
        <v>3594</v>
      </c>
      <c r="B2982" s="8" t="s">
        <v>3595</v>
      </c>
      <c r="C2982" s="8" t="s">
        <v>1865</v>
      </c>
      <c r="D2982" s="8" t="str">
        <f>"9789176853511"</f>
        <v>9789176853511</v>
      </c>
    </row>
    <row r="2983" spans="1:4" x14ac:dyDescent="0.25">
      <c r="A2983" s="7" t="s">
        <v>10725</v>
      </c>
      <c r="B2983" s="8" t="s">
        <v>10726</v>
      </c>
      <c r="C2983" s="8" t="s">
        <v>1876</v>
      </c>
      <c r="D2983" s="8" t="str">
        <f>"9780975747551"</f>
        <v>9780975747551</v>
      </c>
    </row>
    <row r="2984" spans="1:4" x14ac:dyDescent="0.25">
      <c r="A2984" s="7" t="s">
        <v>2661</v>
      </c>
      <c r="B2984" s="8" t="s">
        <v>113</v>
      </c>
      <c r="C2984" s="8" t="s">
        <v>1962</v>
      </c>
      <c r="D2984" s="8" t="str">
        <f>"9782759222049"</f>
        <v>9782759222049</v>
      </c>
    </row>
    <row r="2985" spans="1:4" ht="30" x14ac:dyDescent="0.25">
      <c r="A2985" s="7" t="s">
        <v>870</v>
      </c>
      <c r="B2985" s="8" t="s">
        <v>871</v>
      </c>
      <c r="C2985" s="8" t="s">
        <v>316</v>
      </c>
      <c r="D2985" s="8" t="str">
        <f>"9783110346473"</f>
        <v>9783110346473</v>
      </c>
    </row>
    <row r="2986" spans="1:4" ht="30" x14ac:dyDescent="0.25">
      <c r="A2986" s="7" t="s">
        <v>15828</v>
      </c>
      <c r="B2986" s="8" t="s">
        <v>15829</v>
      </c>
      <c r="C2986" s="8" t="s">
        <v>1865</v>
      </c>
      <c r="D2986" s="8" t="str">
        <f>"9789175197807"</f>
        <v>9789175197807</v>
      </c>
    </row>
    <row r="2987" spans="1:4" x14ac:dyDescent="0.25">
      <c r="A2987" s="7" t="s">
        <v>238</v>
      </c>
      <c r="B2987" s="8" t="s">
        <v>239</v>
      </c>
      <c r="C2987" s="8" t="s">
        <v>227</v>
      </c>
      <c r="D2987" s="8" t="str">
        <f>"9781847790255"</f>
        <v>9781847790255</v>
      </c>
    </row>
    <row r="2988" spans="1:4" x14ac:dyDescent="0.25">
      <c r="A2988" s="7" t="s">
        <v>1949</v>
      </c>
      <c r="B2988" s="8" t="s">
        <v>1950</v>
      </c>
      <c r="C2988" s="8" t="s">
        <v>1879</v>
      </c>
      <c r="D2988" s="8" t="str">
        <f>"9781909254022"</f>
        <v>9781909254022</v>
      </c>
    </row>
    <row r="2989" spans="1:4" x14ac:dyDescent="0.25">
      <c r="A2989" s="7" t="s">
        <v>9591</v>
      </c>
      <c r="B2989" s="8" t="s">
        <v>9592</v>
      </c>
      <c r="C2989" s="8" t="s">
        <v>2273</v>
      </c>
      <c r="D2989" s="8" t="str">
        <f>"9783030898588"</f>
        <v>9783030898588</v>
      </c>
    </row>
    <row r="2990" spans="1:4" ht="30" x14ac:dyDescent="0.25">
      <c r="A2990" s="7" t="s">
        <v>4884</v>
      </c>
      <c r="B2990" s="8" t="s">
        <v>4885</v>
      </c>
      <c r="C2990" s="8" t="s">
        <v>4882</v>
      </c>
      <c r="D2990" s="8" t="str">
        <f>"9781789624915"</f>
        <v>9781789624915</v>
      </c>
    </row>
    <row r="2991" spans="1:4" x14ac:dyDescent="0.25">
      <c r="A2991" s="7" t="s">
        <v>6860</v>
      </c>
      <c r="B2991" s="8" t="s">
        <v>6861</v>
      </c>
      <c r="C2991" s="8" t="s">
        <v>4245</v>
      </c>
      <c r="D2991" s="8" t="str">
        <f>"9789813369047"</f>
        <v>9789813369047</v>
      </c>
    </row>
    <row r="2992" spans="1:4" ht="30" x14ac:dyDescent="0.25">
      <c r="A2992" s="7" t="s">
        <v>14251</v>
      </c>
      <c r="B2992" s="8" t="s">
        <v>14252</v>
      </c>
      <c r="C2992" s="8" t="s">
        <v>2274</v>
      </c>
      <c r="D2992" s="8" t="str">
        <f>"9789811967238"</f>
        <v>9789811967238</v>
      </c>
    </row>
    <row r="2993" spans="1:4" ht="30" x14ac:dyDescent="0.25">
      <c r="A2993" s="7" t="s">
        <v>10663</v>
      </c>
      <c r="B2993" s="8" t="s">
        <v>10664</v>
      </c>
      <c r="C2993" s="8" t="s">
        <v>2273</v>
      </c>
      <c r="D2993" s="8" t="str">
        <f>"9783030817367"</f>
        <v>9783030817367</v>
      </c>
    </row>
    <row r="2994" spans="1:4" x14ac:dyDescent="0.25">
      <c r="A2994" s="7" t="s">
        <v>432</v>
      </c>
      <c r="B2994" s="8" t="s">
        <v>433</v>
      </c>
      <c r="C2994" s="8" t="s">
        <v>227</v>
      </c>
      <c r="D2994" s="8" t="str">
        <f>"9781847790736"</f>
        <v>9781847790736</v>
      </c>
    </row>
    <row r="2995" spans="1:4" x14ac:dyDescent="0.25">
      <c r="A2995" s="7" t="s">
        <v>2064</v>
      </c>
      <c r="B2995" s="8" t="s">
        <v>2065</v>
      </c>
      <c r="C2995" s="8" t="s">
        <v>1962</v>
      </c>
      <c r="D2995" s="8" t="str">
        <f>"9782759221639"</f>
        <v>9782759221639</v>
      </c>
    </row>
    <row r="2996" spans="1:4" x14ac:dyDescent="0.25">
      <c r="A2996" s="7" t="s">
        <v>14048</v>
      </c>
      <c r="B2996" s="8" t="s">
        <v>14043</v>
      </c>
      <c r="C2996" s="8" t="s">
        <v>13997</v>
      </c>
      <c r="D2996" s="8" t="str">
        <f>"9789568416638"</f>
        <v>9789568416638</v>
      </c>
    </row>
    <row r="2997" spans="1:4" x14ac:dyDescent="0.25">
      <c r="A2997" s="7" t="s">
        <v>2182</v>
      </c>
      <c r="B2997" s="8" t="s">
        <v>2183</v>
      </c>
      <c r="C2997" s="8" t="s">
        <v>329</v>
      </c>
      <c r="D2997" s="8" t="str">
        <f>"9789048523634"</f>
        <v>9789048523634</v>
      </c>
    </row>
    <row r="2998" spans="1:4" ht="30" x14ac:dyDescent="0.25">
      <c r="A2998" s="7" t="s">
        <v>10534</v>
      </c>
      <c r="B2998" s="8" t="s">
        <v>10535</v>
      </c>
      <c r="C2998" s="8" t="s">
        <v>993</v>
      </c>
      <c r="D2998" s="8" t="str">
        <f>"9783839459225"</f>
        <v>9783839459225</v>
      </c>
    </row>
    <row r="2999" spans="1:4" ht="30" x14ac:dyDescent="0.25">
      <c r="A2999" s="7" t="s">
        <v>8916</v>
      </c>
      <c r="B2999" s="8" t="s">
        <v>8917</v>
      </c>
      <c r="C2999" s="8" t="s">
        <v>2273</v>
      </c>
      <c r="D2999" s="8" t="str">
        <f>"9783030844516"</f>
        <v>9783030844516</v>
      </c>
    </row>
    <row r="3000" spans="1:4" x14ac:dyDescent="0.25">
      <c r="A3000" s="7" t="s">
        <v>9164</v>
      </c>
      <c r="B3000" s="8" t="s">
        <v>9165</v>
      </c>
      <c r="C3000" s="8" t="s">
        <v>2273</v>
      </c>
      <c r="D3000" s="8" t="str">
        <f>"9783030919993"</f>
        <v>9783030919993</v>
      </c>
    </row>
    <row r="3001" spans="1:4" x14ac:dyDescent="0.25">
      <c r="A3001" s="7" t="s">
        <v>7610</v>
      </c>
      <c r="B3001" s="8" t="s">
        <v>7611</v>
      </c>
      <c r="C3001" s="8" t="s">
        <v>993</v>
      </c>
      <c r="D3001" s="8" t="str">
        <f>"9783839421574"</f>
        <v>9783839421574</v>
      </c>
    </row>
    <row r="3002" spans="1:4" x14ac:dyDescent="0.25">
      <c r="A3002" s="7" t="s">
        <v>9068</v>
      </c>
      <c r="B3002" s="8" t="s">
        <v>9069</v>
      </c>
      <c r="C3002" s="8" t="s">
        <v>2273</v>
      </c>
      <c r="D3002" s="8" t="str">
        <f>"9783030826543"</f>
        <v>9783030826543</v>
      </c>
    </row>
    <row r="3003" spans="1:4" x14ac:dyDescent="0.25">
      <c r="A3003" s="7" t="s">
        <v>8327</v>
      </c>
      <c r="B3003" s="8" t="s">
        <v>8328</v>
      </c>
      <c r="C3003" s="8" t="s">
        <v>993</v>
      </c>
      <c r="D3003" s="8" t="str">
        <f>"9783839457283"</f>
        <v>9783839457283</v>
      </c>
    </row>
    <row r="3004" spans="1:4" x14ac:dyDescent="0.25">
      <c r="A3004" s="7" t="s">
        <v>12650</v>
      </c>
      <c r="B3004" s="8" t="s">
        <v>12651</v>
      </c>
      <c r="C3004" s="8" t="s">
        <v>2273</v>
      </c>
      <c r="D3004" s="8" t="str">
        <f>"9783031118401"</f>
        <v>9783031118401</v>
      </c>
    </row>
    <row r="3005" spans="1:4" ht="30" x14ac:dyDescent="0.25">
      <c r="A3005" s="7" t="s">
        <v>10689</v>
      </c>
      <c r="B3005" s="8" t="s">
        <v>10608</v>
      </c>
      <c r="C3005" s="8" t="s">
        <v>2273</v>
      </c>
      <c r="D3005" s="8" t="str">
        <f>"9783030973636"</f>
        <v>9783030973636</v>
      </c>
    </row>
    <row r="3006" spans="1:4" x14ac:dyDescent="0.25">
      <c r="A3006" s="7" t="s">
        <v>14830</v>
      </c>
      <c r="B3006" s="8" t="s">
        <v>14831</v>
      </c>
      <c r="C3006" s="8" t="s">
        <v>1865</v>
      </c>
      <c r="D3006" s="8" t="str">
        <f>"9789175196107"</f>
        <v>9789175196107</v>
      </c>
    </row>
    <row r="3007" spans="1:4" x14ac:dyDescent="0.25">
      <c r="A3007" s="7" t="s">
        <v>7710</v>
      </c>
      <c r="B3007" s="8" t="s">
        <v>7711</v>
      </c>
      <c r="C3007" s="8" t="s">
        <v>993</v>
      </c>
      <c r="D3007" s="8" t="str">
        <f>"9783839427828"</f>
        <v>9783839427828</v>
      </c>
    </row>
    <row r="3008" spans="1:4" x14ac:dyDescent="0.25">
      <c r="A3008" s="7" t="s">
        <v>16039</v>
      </c>
      <c r="B3008" s="8" t="s">
        <v>16040</v>
      </c>
      <c r="C3008" s="8" t="s">
        <v>1865</v>
      </c>
      <c r="D3008" s="8" t="str">
        <f>"9789176858493"</f>
        <v>9789176858493</v>
      </c>
    </row>
    <row r="3009" spans="1:4" ht="30" x14ac:dyDescent="0.25">
      <c r="A3009" s="7" t="s">
        <v>7119</v>
      </c>
      <c r="B3009" s="8" t="s">
        <v>7120</v>
      </c>
      <c r="C3009" s="8" t="s">
        <v>355</v>
      </c>
      <c r="D3009" s="8" t="str">
        <f>"9783110628777"</f>
        <v>9783110628777</v>
      </c>
    </row>
    <row r="3010" spans="1:4" ht="30" x14ac:dyDescent="0.25">
      <c r="A3010" s="7" t="s">
        <v>4871</v>
      </c>
      <c r="B3010" s="8" t="s">
        <v>4872</v>
      </c>
      <c r="C3010" s="8" t="s">
        <v>993</v>
      </c>
      <c r="D3010" s="8" t="str">
        <f>"9783839447208"</f>
        <v>9783839447208</v>
      </c>
    </row>
    <row r="3011" spans="1:4" x14ac:dyDescent="0.25">
      <c r="A3011" s="7" t="s">
        <v>16286</v>
      </c>
      <c r="B3011" s="8" t="s">
        <v>16287</v>
      </c>
      <c r="C3011" s="8" t="s">
        <v>1865</v>
      </c>
      <c r="D3011" s="8" t="str">
        <f>"9789175198118"</f>
        <v>9789175198118</v>
      </c>
    </row>
    <row r="3012" spans="1:4" x14ac:dyDescent="0.25">
      <c r="A3012" s="7" t="s">
        <v>2151</v>
      </c>
      <c r="B3012" s="8" t="s">
        <v>2152</v>
      </c>
      <c r="C3012" s="8" t="s">
        <v>1879</v>
      </c>
      <c r="D3012" s="8" t="str">
        <f>"9781783740444"</f>
        <v>9781783740444</v>
      </c>
    </row>
    <row r="3013" spans="1:4" x14ac:dyDescent="0.25">
      <c r="A3013" s="7" t="s">
        <v>282</v>
      </c>
      <c r="B3013" s="8" t="s">
        <v>6</v>
      </c>
      <c r="C3013" s="8" t="s">
        <v>227</v>
      </c>
      <c r="D3013" s="8" t="str">
        <f>"9781847790491"</f>
        <v>9781847790491</v>
      </c>
    </row>
    <row r="3014" spans="1:4" ht="30" x14ac:dyDescent="0.25">
      <c r="A3014" s="7" t="s">
        <v>3889</v>
      </c>
      <c r="B3014" s="8" t="s">
        <v>3888</v>
      </c>
      <c r="C3014" s="8" t="s">
        <v>355</v>
      </c>
      <c r="D3014" s="8" t="str">
        <f>"9783486992564"</f>
        <v>9783486992564</v>
      </c>
    </row>
    <row r="3015" spans="1:4" x14ac:dyDescent="0.25">
      <c r="A3015" s="7" t="s">
        <v>3283</v>
      </c>
      <c r="B3015" s="8" t="s">
        <v>3284</v>
      </c>
      <c r="C3015" s="8" t="s">
        <v>1865</v>
      </c>
      <c r="D3015" s="8" t="str">
        <f>"9789176854501"</f>
        <v>9789176854501</v>
      </c>
    </row>
    <row r="3016" spans="1:4" ht="30" x14ac:dyDescent="0.25">
      <c r="A3016" s="7" t="s">
        <v>1217</v>
      </c>
      <c r="B3016" s="8" t="s">
        <v>1218</v>
      </c>
      <c r="C3016" s="8" t="s">
        <v>355</v>
      </c>
      <c r="D3016" s="8" t="str">
        <f>"9783486836721"</f>
        <v>9783486836721</v>
      </c>
    </row>
    <row r="3017" spans="1:4" x14ac:dyDescent="0.25">
      <c r="A3017" s="7" t="s">
        <v>13520</v>
      </c>
      <c r="B3017" s="8" t="s">
        <v>13521</v>
      </c>
      <c r="C3017" s="8" t="s">
        <v>2785</v>
      </c>
      <c r="D3017" s="8" t="str">
        <f>"9789811924767"</f>
        <v>9789811924767</v>
      </c>
    </row>
    <row r="3018" spans="1:4" ht="30" x14ac:dyDescent="0.25">
      <c r="A3018" s="7" t="s">
        <v>6502</v>
      </c>
      <c r="B3018" s="8" t="s">
        <v>6503</v>
      </c>
      <c r="C3018" s="8" t="s">
        <v>1865</v>
      </c>
      <c r="D3018" s="8" t="str">
        <f>"9789179296957"</f>
        <v>9789179296957</v>
      </c>
    </row>
    <row r="3019" spans="1:4" ht="30" x14ac:dyDescent="0.25">
      <c r="A3019" s="7" t="s">
        <v>7987</v>
      </c>
      <c r="B3019" s="8" t="s">
        <v>7988</v>
      </c>
      <c r="C3019" s="8" t="s">
        <v>1962</v>
      </c>
      <c r="D3019" s="8" t="str">
        <f>"9782759231218"</f>
        <v>9782759231218</v>
      </c>
    </row>
    <row r="3020" spans="1:4" x14ac:dyDescent="0.25">
      <c r="A3020" s="7" t="s">
        <v>9018</v>
      </c>
      <c r="B3020" s="8" t="s">
        <v>9019</v>
      </c>
      <c r="C3020" s="8" t="s">
        <v>1224</v>
      </c>
      <c r="D3020" s="8" t="str">
        <f>"9781644691137"</f>
        <v>9781644691137</v>
      </c>
    </row>
    <row r="3021" spans="1:4" x14ac:dyDescent="0.25">
      <c r="A3021" s="7" t="s">
        <v>11729</v>
      </c>
      <c r="B3021" s="8" t="s">
        <v>11730</v>
      </c>
      <c r="C3021" s="8" t="s">
        <v>355</v>
      </c>
      <c r="D3021" s="8" t="str">
        <f>"9783035623086"</f>
        <v>9783035623086</v>
      </c>
    </row>
    <row r="3022" spans="1:4" x14ac:dyDescent="0.25">
      <c r="A3022" s="7" t="s">
        <v>11786</v>
      </c>
      <c r="B3022" s="8" t="s">
        <v>11730</v>
      </c>
      <c r="C3022" s="8" t="s">
        <v>355</v>
      </c>
      <c r="D3022" s="8" t="str">
        <f>"9783035623079"</f>
        <v>9783035623079</v>
      </c>
    </row>
    <row r="3023" spans="1:4" ht="30" x14ac:dyDescent="0.25">
      <c r="A3023" s="7" t="s">
        <v>3864</v>
      </c>
      <c r="B3023" s="8" t="s">
        <v>3865</v>
      </c>
      <c r="C3023" s="8" t="s">
        <v>316</v>
      </c>
      <c r="D3023" s="8" t="str">
        <f>"9783110531732"</f>
        <v>9783110531732</v>
      </c>
    </row>
    <row r="3024" spans="1:4" ht="30" x14ac:dyDescent="0.25">
      <c r="A3024" s="7" t="s">
        <v>10218</v>
      </c>
      <c r="B3024" s="8" t="s">
        <v>10219</v>
      </c>
      <c r="C3024" s="8" t="s">
        <v>993</v>
      </c>
      <c r="D3024" s="8" t="str">
        <f>"9783839445068"</f>
        <v>9783839445068</v>
      </c>
    </row>
    <row r="3025" spans="1:4" ht="30" x14ac:dyDescent="0.25">
      <c r="A3025" s="7" t="s">
        <v>1413</v>
      </c>
      <c r="B3025" s="8" t="s">
        <v>1414</v>
      </c>
      <c r="C3025" s="8" t="s">
        <v>1345</v>
      </c>
      <c r="D3025" s="8" t="str">
        <f>"9783899589078"</f>
        <v>9783899589078</v>
      </c>
    </row>
    <row r="3026" spans="1:4" x14ac:dyDescent="0.25">
      <c r="A3026" s="7" t="s">
        <v>2801</v>
      </c>
      <c r="B3026" s="8" t="s">
        <v>2802</v>
      </c>
      <c r="C3026" s="8" t="s">
        <v>1332</v>
      </c>
      <c r="D3026" s="8" t="str">
        <f>"9781780407005"</f>
        <v>9781780407005</v>
      </c>
    </row>
    <row r="3027" spans="1:4" ht="30" x14ac:dyDescent="0.25">
      <c r="A3027" s="7" t="s">
        <v>6898</v>
      </c>
      <c r="B3027" s="8" t="s">
        <v>6899</v>
      </c>
      <c r="C3027" s="8" t="s">
        <v>2273</v>
      </c>
      <c r="D3027" s="8" t="str">
        <f>"9783030714000"</f>
        <v>9783030714000</v>
      </c>
    </row>
    <row r="3028" spans="1:4" x14ac:dyDescent="0.25">
      <c r="A3028" s="7" t="s">
        <v>6095</v>
      </c>
      <c r="B3028" s="8" t="s">
        <v>6068</v>
      </c>
      <c r="C3028" s="8" t="s">
        <v>5134</v>
      </c>
      <c r="D3028" s="8" t="str">
        <f>"9783642540349"</f>
        <v>9783642540349</v>
      </c>
    </row>
    <row r="3029" spans="1:4" x14ac:dyDescent="0.25">
      <c r="A3029" s="7" t="s">
        <v>5705</v>
      </c>
      <c r="B3029" s="8" t="s">
        <v>5706</v>
      </c>
      <c r="C3029" s="8" t="s">
        <v>2273</v>
      </c>
      <c r="D3029" s="8" t="str">
        <f>"9783030548957"</f>
        <v>9783030548957</v>
      </c>
    </row>
    <row r="3030" spans="1:4" x14ac:dyDescent="0.25">
      <c r="A3030" s="7" t="s">
        <v>4451</v>
      </c>
      <c r="B3030" s="8" t="s">
        <v>4452</v>
      </c>
      <c r="C3030" s="8" t="s">
        <v>1865</v>
      </c>
      <c r="D3030" s="8" t="str">
        <f>"9789176850602"</f>
        <v>9789176850602</v>
      </c>
    </row>
    <row r="3031" spans="1:4" ht="30" x14ac:dyDescent="0.25">
      <c r="A3031" s="7" t="s">
        <v>7351</v>
      </c>
      <c r="B3031" s="8" t="s">
        <v>7352</v>
      </c>
      <c r="C3031" s="8" t="s">
        <v>2273</v>
      </c>
      <c r="D3031" s="8" t="str">
        <f>"9783030758295"</f>
        <v>9783030758295</v>
      </c>
    </row>
    <row r="3032" spans="1:4" ht="30" x14ac:dyDescent="0.25">
      <c r="A3032" s="7" t="s">
        <v>12873</v>
      </c>
      <c r="B3032" s="8" t="s">
        <v>12746</v>
      </c>
      <c r="C3032" s="8" t="s">
        <v>12712</v>
      </c>
      <c r="D3032" s="8" t="str">
        <f>"9783428441501"</f>
        <v>9783428441501</v>
      </c>
    </row>
    <row r="3033" spans="1:4" ht="45" x14ac:dyDescent="0.25">
      <c r="A3033" s="7" t="s">
        <v>13350</v>
      </c>
      <c r="B3033" s="8" t="s">
        <v>191</v>
      </c>
      <c r="C3033" s="8" t="s">
        <v>12712</v>
      </c>
      <c r="D3033" s="8" t="str">
        <f>"9783428575091"</f>
        <v>9783428575091</v>
      </c>
    </row>
    <row r="3034" spans="1:4" x14ac:dyDescent="0.25">
      <c r="A3034" s="7" t="s">
        <v>12940</v>
      </c>
      <c r="B3034" s="8" t="s">
        <v>12941</v>
      </c>
      <c r="C3034" s="8" t="s">
        <v>12712</v>
      </c>
      <c r="D3034" s="8" t="str">
        <f>"9783428454198"</f>
        <v>9783428454198</v>
      </c>
    </row>
    <row r="3035" spans="1:4" ht="30" x14ac:dyDescent="0.25">
      <c r="A3035" s="7" t="s">
        <v>13349</v>
      </c>
      <c r="B3035" s="8" t="s">
        <v>191</v>
      </c>
      <c r="C3035" s="8" t="s">
        <v>12712</v>
      </c>
      <c r="D3035" s="8" t="str">
        <f>"9783428575084"</f>
        <v>9783428575084</v>
      </c>
    </row>
    <row r="3036" spans="1:4" ht="30" x14ac:dyDescent="0.25">
      <c r="A3036" s="7" t="s">
        <v>10173</v>
      </c>
      <c r="B3036" s="8" t="s">
        <v>10174</v>
      </c>
      <c r="C3036" s="8" t="s">
        <v>993</v>
      </c>
      <c r="D3036" s="8" t="str">
        <f>"9783839442364"</f>
        <v>9783839442364</v>
      </c>
    </row>
    <row r="3037" spans="1:4" x14ac:dyDescent="0.25">
      <c r="A3037" s="7" t="s">
        <v>10072</v>
      </c>
      <c r="B3037" s="8" t="s">
        <v>10073</v>
      </c>
      <c r="C3037" s="8" t="s">
        <v>993</v>
      </c>
      <c r="D3037" s="8" t="str">
        <f>"9783839429563"</f>
        <v>9783839429563</v>
      </c>
    </row>
    <row r="3038" spans="1:4" x14ac:dyDescent="0.25">
      <c r="A3038" s="7" t="s">
        <v>5098</v>
      </c>
      <c r="B3038" s="8" t="s">
        <v>5099</v>
      </c>
      <c r="C3038" s="8" t="s">
        <v>2273</v>
      </c>
      <c r="D3038" s="8" t="str">
        <f>"9783319294391"</f>
        <v>9783319294391</v>
      </c>
    </row>
    <row r="3039" spans="1:4" ht="30" x14ac:dyDescent="0.25">
      <c r="A3039" s="7" t="s">
        <v>16282</v>
      </c>
      <c r="B3039" s="8" t="s">
        <v>16283</v>
      </c>
      <c r="C3039" s="8" t="s">
        <v>1865</v>
      </c>
      <c r="D3039" s="8" t="str">
        <f>"9789175193007"</f>
        <v>9789175193007</v>
      </c>
    </row>
    <row r="3040" spans="1:4" x14ac:dyDescent="0.25">
      <c r="A3040" s="7" t="s">
        <v>15375</v>
      </c>
      <c r="B3040" s="8" t="s">
        <v>15376</v>
      </c>
      <c r="C3040" s="8" t="s">
        <v>1865</v>
      </c>
      <c r="D3040" s="8" t="str">
        <f>"9789176858479"</f>
        <v>9789176858479</v>
      </c>
    </row>
    <row r="3041" spans="1:4" x14ac:dyDescent="0.25">
      <c r="A3041" s="7" t="s">
        <v>14326</v>
      </c>
      <c r="B3041" s="8" t="s">
        <v>14327</v>
      </c>
      <c r="C3041" s="8" t="s">
        <v>2274</v>
      </c>
      <c r="D3041" s="8" t="str">
        <f>"9789811982415"</f>
        <v>9789811982415</v>
      </c>
    </row>
    <row r="3042" spans="1:4" x14ac:dyDescent="0.25">
      <c r="A3042" s="7" t="s">
        <v>3800</v>
      </c>
      <c r="B3042" s="8" t="s">
        <v>3801</v>
      </c>
      <c r="C3042" s="8" t="s">
        <v>2073</v>
      </c>
      <c r="D3042" s="8" t="str">
        <f>"9781438470474"</f>
        <v>9781438470474</v>
      </c>
    </row>
    <row r="3043" spans="1:4" ht="30" x14ac:dyDescent="0.25">
      <c r="A3043" s="7" t="s">
        <v>6655</v>
      </c>
      <c r="B3043" s="8" t="s">
        <v>6656</v>
      </c>
      <c r="C3043" s="8" t="s">
        <v>2273</v>
      </c>
      <c r="D3043" s="8" t="str">
        <f>"9783030673383"</f>
        <v>9783030673383</v>
      </c>
    </row>
    <row r="3044" spans="1:4" ht="30" x14ac:dyDescent="0.25">
      <c r="A3044" s="7" t="s">
        <v>14947</v>
      </c>
      <c r="B3044" s="8" t="s">
        <v>14948</v>
      </c>
      <c r="C3044" s="8" t="s">
        <v>1865</v>
      </c>
      <c r="D3044" s="8" t="str">
        <f>"9789175194974"</f>
        <v>9789175194974</v>
      </c>
    </row>
    <row r="3045" spans="1:4" x14ac:dyDescent="0.25">
      <c r="A3045" s="7" t="s">
        <v>10750</v>
      </c>
      <c r="B3045" s="8" t="s">
        <v>10751</v>
      </c>
      <c r="C3045" s="8" t="s">
        <v>1876</v>
      </c>
      <c r="D3045" s="8" t="str">
        <f>"9781876924829"</f>
        <v>9781876924829</v>
      </c>
    </row>
    <row r="3046" spans="1:4" x14ac:dyDescent="0.25">
      <c r="A3046" s="7" t="s">
        <v>2600</v>
      </c>
      <c r="B3046" s="8" t="s">
        <v>2601</v>
      </c>
      <c r="C3046" s="8" t="s">
        <v>1224</v>
      </c>
      <c r="D3046" s="8" t="str">
        <f>"9781618114839"</f>
        <v>9781618114839</v>
      </c>
    </row>
    <row r="3047" spans="1:4" x14ac:dyDescent="0.25">
      <c r="A3047" s="7" t="s">
        <v>15645</v>
      </c>
      <c r="B3047" s="8" t="s">
        <v>3148</v>
      </c>
      <c r="C3047" s="8" t="s">
        <v>1865</v>
      </c>
      <c r="D3047" s="8" t="str">
        <f>"9789176859216"</f>
        <v>9789176859216</v>
      </c>
    </row>
    <row r="3048" spans="1:4" x14ac:dyDescent="0.25">
      <c r="A3048" s="7" t="s">
        <v>15527</v>
      </c>
      <c r="B3048" s="8" t="s">
        <v>15528</v>
      </c>
      <c r="C3048" s="8" t="s">
        <v>1865</v>
      </c>
      <c r="D3048" s="8" t="str">
        <f>"9789175193908"</f>
        <v>9789175193908</v>
      </c>
    </row>
    <row r="3049" spans="1:4" x14ac:dyDescent="0.25">
      <c r="A3049" s="7" t="s">
        <v>14742</v>
      </c>
      <c r="B3049" s="8" t="s">
        <v>14743</v>
      </c>
      <c r="C3049" s="8" t="s">
        <v>329</v>
      </c>
      <c r="D3049" s="8" t="str">
        <f>"9789048553570"</f>
        <v>9789048553570</v>
      </c>
    </row>
    <row r="3050" spans="1:4" ht="30" x14ac:dyDescent="0.25">
      <c r="A3050" s="7" t="s">
        <v>1196</v>
      </c>
      <c r="B3050" s="8" t="s">
        <v>1197</v>
      </c>
      <c r="C3050" s="8" t="s">
        <v>355</v>
      </c>
      <c r="D3050" s="8" t="str">
        <f>"9783486841305"</f>
        <v>9783486841305</v>
      </c>
    </row>
    <row r="3051" spans="1:4" ht="30" x14ac:dyDescent="0.25">
      <c r="A3051" s="7" t="s">
        <v>3171</v>
      </c>
      <c r="B3051" s="8" t="s">
        <v>3172</v>
      </c>
      <c r="C3051" s="8" t="s">
        <v>1865</v>
      </c>
      <c r="D3051" s="8" t="str">
        <f>"9789176855515"</f>
        <v>9789176855515</v>
      </c>
    </row>
    <row r="3052" spans="1:4" ht="30" x14ac:dyDescent="0.25">
      <c r="A3052" s="7" t="s">
        <v>5645</v>
      </c>
      <c r="B3052" s="8" t="s">
        <v>5646</v>
      </c>
      <c r="C3052" s="8" t="s">
        <v>5083</v>
      </c>
      <c r="D3052" s="8" t="str">
        <f>"9783658262068"</f>
        <v>9783658262068</v>
      </c>
    </row>
    <row r="3053" spans="1:4" ht="30" x14ac:dyDescent="0.25">
      <c r="A3053" s="7" t="s">
        <v>3227</v>
      </c>
      <c r="B3053" s="8" t="s">
        <v>3228</v>
      </c>
      <c r="C3053" s="8" t="s">
        <v>1345</v>
      </c>
      <c r="D3053" s="8" t="str">
        <f>"9783737602655"</f>
        <v>9783737602655</v>
      </c>
    </row>
    <row r="3054" spans="1:4" x14ac:dyDescent="0.25">
      <c r="A3054" s="7" t="s">
        <v>3126</v>
      </c>
      <c r="B3054" s="8" t="s">
        <v>3127</v>
      </c>
      <c r="C3054" s="8" t="s">
        <v>1865</v>
      </c>
      <c r="D3054" s="8" t="str">
        <f>"9789176855423"</f>
        <v>9789176855423</v>
      </c>
    </row>
    <row r="3055" spans="1:4" ht="30" x14ac:dyDescent="0.25">
      <c r="A3055" s="7" t="s">
        <v>13477</v>
      </c>
      <c r="B3055" s="8" t="s">
        <v>13478</v>
      </c>
      <c r="C3055" s="8" t="s">
        <v>2273</v>
      </c>
      <c r="D3055" s="8" t="str">
        <f>"9783031183263"</f>
        <v>9783031183263</v>
      </c>
    </row>
    <row r="3056" spans="1:4" ht="30" x14ac:dyDescent="0.25">
      <c r="A3056" s="7" t="s">
        <v>11010</v>
      </c>
      <c r="B3056" s="8" t="s">
        <v>11011</v>
      </c>
      <c r="C3056" s="8" t="s">
        <v>1865</v>
      </c>
      <c r="D3056" s="8" t="str">
        <f>"9789179293246"</f>
        <v>9789179293246</v>
      </c>
    </row>
    <row r="3057" spans="1:4" x14ac:dyDescent="0.25">
      <c r="A3057" s="7" t="s">
        <v>4486</v>
      </c>
      <c r="B3057" s="8" t="s">
        <v>4487</v>
      </c>
      <c r="C3057" s="8" t="s">
        <v>1865</v>
      </c>
      <c r="D3057" s="8" t="str">
        <f>"9789176850701"</f>
        <v>9789176850701</v>
      </c>
    </row>
    <row r="3058" spans="1:4" ht="30" x14ac:dyDescent="0.25">
      <c r="A3058" s="7" t="s">
        <v>3305</v>
      </c>
      <c r="B3058" s="8" t="s">
        <v>3306</v>
      </c>
      <c r="C3058" s="8" t="s">
        <v>1345</v>
      </c>
      <c r="D3058" s="8" t="str">
        <f>"9783737603652"</f>
        <v>9783737603652</v>
      </c>
    </row>
    <row r="3059" spans="1:4" ht="30" x14ac:dyDescent="0.25">
      <c r="A3059" s="7" t="s">
        <v>8307</v>
      </c>
      <c r="B3059" s="8" t="s">
        <v>8308</v>
      </c>
      <c r="C3059" s="8" t="s">
        <v>993</v>
      </c>
      <c r="D3059" s="8" t="str">
        <f>"9783839451694"</f>
        <v>9783839451694</v>
      </c>
    </row>
    <row r="3060" spans="1:4" ht="30" x14ac:dyDescent="0.25">
      <c r="A3060" s="7" t="s">
        <v>10031</v>
      </c>
      <c r="B3060" s="8" t="s">
        <v>10032</v>
      </c>
      <c r="C3060" s="8" t="s">
        <v>993</v>
      </c>
      <c r="D3060" s="8" t="str">
        <f>"9783839410882"</f>
        <v>9783839410882</v>
      </c>
    </row>
    <row r="3061" spans="1:4" ht="30" x14ac:dyDescent="0.25">
      <c r="A3061" s="7" t="s">
        <v>14674</v>
      </c>
      <c r="B3061" s="8" t="s">
        <v>12603</v>
      </c>
      <c r="C3061" s="8" t="s">
        <v>1865</v>
      </c>
      <c r="D3061" s="8" t="str">
        <f>"9789179298302"</f>
        <v>9789179298302</v>
      </c>
    </row>
    <row r="3062" spans="1:4" ht="30" x14ac:dyDescent="0.25">
      <c r="A3062" s="7" t="s">
        <v>14770</v>
      </c>
      <c r="B3062" s="8" t="s">
        <v>2411</v>
      </c>
      <c r="C3062" s="8" t="s">
        <v>1865</v>
      </c>
      <c r="D3062" s="8" t="str">
        <f>"9789175196008"</f>
        <v>9789175196008</v>
      </c>
    </row>
    <row r="3063" spans="1:4" ht="30" x14ac:dyDescent="0.25">
      <c r="A3063" s="7" t="s">
        <v>3255</v>
      </c>
      <c r="B3063" s="8" t="s">
        <v>3256</v>
      </c>
      <c r="C3063" s="8" t="s">
        <v>1865</v>
      </c>
      <c r="D3063" s="8" t="str">
        <f>"9789176854754"</f>
        <v>9789176854754</v>
      </c>
    </row>
    <row r="3064" spans="1:4" ht="30" x14ac:dyDescent="0.25">
      <c r="A3064" s="7" t="s">
        <v>15985</v>
      </c>
      <c r="B3064" s="8" t="s">
        <v>15986</v>
      </c>
      <c r="C3064" s="8" t="s">
        <v>1865</v>
      </c>
      <c r="D3064" s="8" t="str">
        <f>"9789175198453"</f>
        <v>9789175198453</v>
      </c>
    </row>
    <row r="3065" spans="1:4" ht="30" x14ac:dyDescent="0.25">
      <c r="A3065" s="7" t="s">
        <v>15059</v>
      </c>
      <c r="B3065" s="8" t="s">
        <v>15060</v>
      </c>
      <c r="C3065" s="8" t="s">
        <v>1865</v>
      </c>
      <c r="D3065" s="8" t="str">
        <f>"9789175196237"</f>
        <v>9789175196237</v>
      </c>
    </row>
    <row r="3066" spans="1:4" x14ac:dyDescent="0.25">
      <c r="A3066" s="7" t="s">
        <v>2998</v>
      </c>
      <c r="B3066" s="8" t="s">
        <v>2999</v>
      </c>
      <c r="C3066" s="8" t="s">
        <v>1865</v>
      </c>
      <c r="D3066" s="8" t="str">
        <f>"9789176855911"</f>
        <v>9789176855911</v>
      </c>
    </row>
    <row r="3067" spans="1:4" x14ac:dyDescent="0.25">
      <c r="A3067" s="7" t="s">
        <v>9304</v>
      </c>
      <c r="B3067" s="8" t="s">
        <v>9305</v>
      </c>
      <c r="C3067" s="8" t="s">
        <v>9256</v>
      </c>
      <c r="D3067" s="8" t="str">
        <f>"9788021094406"</f>
        <v>9788021094406</v>
      </c>
    </row>
    <row r="3068" spans="1:4" x14ac:dyDescent="0.25">
      <c r="A3068" s="7" t="s">
        <v>9275</v>
      </c>
      <c r="B3068" s="8" t="s">
        <v>9276</v>
      </c>
      <c r="C3068" s="8" t="s">
        <v>9256</v>
      </c>
      <c r="D3068" s="8" t="str">
        <f>"9788021086357"</f>
        <v>9788021086357</v>
      </c>
    </row>
    <row r="3069" spans="1:4" ht="30" x14ac:dyDescent="0.25">
      <c r="A3069" s="7" t="s">
        <v>12954</v>
      </c>
      <c r="B3069" s="8" t="s">
        <v>12955</v>
      </c>
      <c r="C3069" s="8" t="s">
        <v>12712</v>
      </c>
      <c r="D3069" s="8" t="str">
        <f>"9783428456598"</f>
        <v>9783428456598</v>
      </c>
    </row>
    <row r="3070" spans="1:4" ht="30" x14ac:dyDescent="0.25">
      <c r="A3070" s="7" t="s">
        <v>4639</v>
      </c>
      <c r="B3070" s="8" t="s">
        <v>4640</v>
      </c>
      <c r="C3070" s="8" t="s">
        <v>1865</v>
      </c>
      <c r="D3070" s="8" t="str">
        <f>"9789175190020"</f>
        <v>9789175190020</v>
      </c>
    </row>
    <row r="3071" spans="1:4" x14ac:dyDescent="0.25">
      <c r="A3071" s="7" t="s">
        <v>4244</v>
      </c>
      <c r="B3071" s="8" t="s">
        <v>4246</v>
      </c>
      <c r="C3071" s="8" t="s">
        <v>4245</v>
      </c>
      <c r="D3071" s="8" t="str">
        <f>"9789811307430"</f>
        <v>9789811307430</v>
      </c>
    </row>
    <row r="3072" spans="1:4" x14ac:dyDescent="0.25">
      <c r="A3072" s="7" t="s">
        <v>3229</v>
      </c>
      <c r="B3072" s="8" t="s">
        <v>3230</v>
      </c>
      <c r="C3072" s="8" t="s">
        <v>1345</v>
      </c>
      <c r="D3072" s="8" t="str">
        <f>"9783737602877"</f>
        <v>9783737602877</v>
      </c>
    </row>
    <row r="3073" spans="1:4" x14ac:dyDescent="0.25">
      <c r="A3073" s="7" t="s">
        <v>5846</v>
      </c>
      <c r="B3073" s="8" t="s">
        <v>5847</v>
      </c>
      <c r="C3073" s="8" t="s">
        <v>2273</v>
      </c>
      <c r="D3073" s="8" t="str">
        <f>"9783319282015"</f>
        <v>9783319282015</v>
      </c>
    </row>
    <row r="3074" spans="1:4" ht="30" x14ac:dyDescent="0.25">
      <c r="A3074" s="7" t="s">
        <v>630</v>
      </c>
      <c r="B3074" s="8" t="s">
        <v>631</v>
      </c>
      <c r="C3074" s="8" t="s">
        <v>562</v>
      </c>
      <c r="D3074" s="8" t="str">
        <f>"9780822394808"</f>
        <v>9780822394808</v>
      </c>
    </row>
    <row r="3075" spans="1:4" x14ac:dyDescent="0.25">
      <c r="A3075" s="7" t="s">
        <v>12187</v>
      </c>
      <c r="B3075" s="8" t="s">
        <v>12188</v>
      </c>
      <c r="C3075" s="8" t="s">
        <v>4882</v>
      </c>
      <c r="D3075" s="8" t="str">
        <f>"9781802070927"</f>
        <v>9781802070927</v>
      </c>
    </row>
    <row r="3076" spans="1:4" ht="30" x14ac:dyDescent="0.25">
      <c r="A3076" s="7" t="s">
        <v>1347</v>
      </c>
      <c r="B3076" s="8" t="s">
        <v>1348</v>
      </c>
      <c r="C3076" s="8" t="s">
        <v>1345</v>
      </c>
      <c r="D3076" s="8" t="str">
        <f>"9783899588910"</f>
        <v>9783899588910</v>
      </c>
    </row>
    <row r="3077" spans="1:4" ht="30" x14ac:dyDescent="0.25">
      <c r="A3077" s="7" t="s">
        <v>4183</v>
      </c>
      <c r="B3077" s="8" t="s">
        <v>4184</v>
      </c>
      <c r="C3077" s="8" t="s">
        <v>1865</v>
      </c>
      <c r="D3077" s="8" t="str">
        <f>"9789176851968"</f>
        <v>9789176851968</v>
      </c>
    </row>
    <row r="3078" spans="1:4" ht="30" x14ac:dyDescent="0.25">
      <c r="A3078" s="7" t="s">
        <v>12158</v>
      </c>
      <c r="B3078" s="8" t="s">
        <v>12159</v>
      </c>
      <c r="C3078" s="8" t="s">
        <v>355</v>
      </c>
      <c r="D3078" s="8" t="str">
        <f>"9783110732887"</f>
        <v>9783110732887</v>
      </c>
    </row>
    <row r="3079" spans="1:4" ht="30" x14ac:dyDescent="0.25">
      <c r="A3079" s="7" t="s">
        <v>5162</v>
      </c>
      <c r="B3079" s="8" t="s">
        <v>5163</v>
      </c>
      <c r="C3079" s="8" t="s">
        <v>2273</v>
      </c>
      <c r="D3079" s="8" t="str">
        <f>"9783030452162"</f>
        <v>9783030452162</v>
      </c>
    </row>
    <row r="3080" spans="1:4" x14ac:dyDescent="0.25">
      <c r="A3080" s="7" t="s">
        <v>12570</v>
      </c>
      <c r="B3080" s="8" t="s">
        <v>12571</v>
      </c>
      <c r="C3080" s="8" t="s">
        <v>2273</v>
      </c>
      <c r="D3080" s="8" t="str">
        <f>"9783030992064"</f>
        <v>9783030992064</v>
      </c>
    </row>
    <row r="3081" spans="1:4" x14ac:dyDescent="0.25">
      <c r="A3081" s="7" t="s">
        <v>10904</v>
      </c>
      <c r="B3081" s="8" t="s">
        <v>10905</v>
      </c>
      <c r="C3081" s="8" t="s">
        <v>4245</v>
      </c>
      <c r="D3081" s="8" t="str">
        <f>"9789811694042"</f>
        <v>9789811694042</v>
      </c>
    </row>
    <row r="3082" spans="1:4" x14ac:dyDescent="0.25">
      <c r="A3082" s="7" t="s">
        <v>2332</v>
      </c>
      <c r="B3082" s="8" t="s">
        <v>2333</v>
      </c>
      <c r="C3082" s="8" t="s">
        <v>1879</v>
      </c>
      <c r="D3082" s="8" t="str">
        <f>"9781783741953"</f>
        <v>9781783741953</v>
      </c>
    </row>
    <row r="3083" spans="1:4" x14ac:dyDescent="0.25">
      <c r="A3083" s="7" t="s">
        <v>2037</v>
      </c>
      <c r="B3083" s="8" t="s">
        <v>2038</v>
      </c>
      <c r="C3083" s="8" t="s">
        <v>1962</v>
      </c>
      <c r="D3083" s="8" t="str">
        <f>"9782759203857"</f>
        <v>9782759203857</v>
      </c>
    </row>
    <row r="3084" spans="1:4" ht="30" x14ac:dyDescent="0.25">
      <c r="A3084" s="7" t="s">
        <v>12487</v>
      </c>
      <c r="B3084" s="8" t="s">
        <v>12488</v>
      </c>
      <c r="C3084" s="8" t="s">
        <v>1962</v>
      </c>
      <c r="D3084" s="8" t="str">
        <f>"9782759234585"</f>
        <v>9782759234585</v>
      </c>
    </row>
    <row r="3085" spans="1:4" x14ac:dyDescent="0.25">
      <c r="A3085" s="7" t="s">
        <v>14557</v>
      </c>
      <c r="B3085" s="8" t="s">
        <v>14558</v>
      </c>
      <c r="C3085" s="8" t="s">
        <v>1865</v>
      </c>
      <c r="D3085" s="8" t="str">
        <f>"9789179297480"</f>
        <v>9789179297480</v>
      </c>
    </row>
    <row r="3086" spans="1:4" x14ac:dyDescent="0.25">
      <c r="A3086" s="7" t="s">
        <v>8878</v>
      </c>
      <c r="B3086" s="8" t="s">
        <v>8879</v>
      </c>
      <c r="C3086" s="8" t="s">
        <v>4245</v>
      </c>
      <c r="D3086" s="8" t="str">
        <f>"9789811667831"</f>
        <v>9789811667831</v>
      </c>
    </row>
    <row r="3087" spans="1:4" x14ac:dyDescent="0.25">
      <c r="A3087" s="7" t="s">
        <v>5852</v>
      </c>
      <c r="B3087" s="8" t="s">
        <v>5853</v>
      </c>
      <c r="C3087" s="8" t="s">
        <v>2273</v>
      </c>
      <c r="D3087" s="8" t="str">
        <f>"9783319134376"</f>
        <v>9783319134376</v>
      </c>
    </row>
    <row r="3088" spans="1:4" x14ac:dyDescent="0.25">
      <c r="A3088" s="7" t="s">
        <v>4151</v>
      </c>
      <c r="B3088" s="8" t="s">
        <v>4152</v>
      </c>
      <c r="C3088" s="8" t="s">
        <v>1865</v>
      </c>
      <c r="D3088" s="8" t="str">
        <f>"9789176852156"</f>
        <v>9789176852156</v>
      </c>
    </row>
    <row r="3089" spans="1:4" ht="30" x14ac:dyDescent="0.25">
      <c r="A3089" s="7" t="s">
        <v>6900</v>
      </c>
      <c r="B3089" s="8" t="s">
        <v>6901</v>
      </c>
      <c r="C3089" s="8" t="s">
        <v>1224</v>
      </c>
      <c r="D3089" s="8" t="str">
        <f>"9781644694060"</f>
        <v>9781644694060</v>
      </c>
    </row>
    <row r="3090" spans="1:4" x14ac:dyDescent="0.25">
      <c r="A3090" s="7" t="s">
        <v>8660</v>
      </c>
      <c r="B3090" s="8" t="s">
        <v>8661</v>
      </c>
      <c r="C3090" s="8" t="s">
        <v>1879</v>
      </c>
      <c r="D3090" s="8" t="str">
        <f>"9781800642201"</f>
        <v>9781800642201</v>
      </c>
    </row>
    <row r="3091" spans="1:4" x14ac:dyDescent="0.25">
      <c r="A3091" s="7" t="s">
        <v>9020</v>
      </c>
      <c r="B3091" s="8" t="s">
        <v>9021</v>
      </c>
      <c r="C3091" s="8" t="s">
        <v>2273</v>
      </c>
      <c r="D3091" s="8" t="str">
        <f>"9783030769703"</f>
        <v>9783030769703</v>
      </c>
    </row>
    <row r="3092" spans="1:4" x14ac:dyDescent="0.25">
      <c r="A3092" s="7" t="s">
        <v>5037</v>
      </c>
      <c r="B3092" s="8" t="s">
        <v>5038</v>
      </c>
      <c r="C3092" s="8" t="s">
        <v>355</v>
      </c>
      <c r="D3092" s="8" t="str">
        <f>"9783110669824"</f>
        <v>9783110669824</v>
      </c>
    </row>
    <row r="3093" spans="1:4" x14ac:dyDescent="0.25">
      <c r="A3093" s="7" t="s">
        <v>2574</v>
      </c>
      <c r="B3093" s="8" t="s">
        <v>2575</v>
      </c>
      <c r="C3093" s="8" t="s">
        <v>355</v>
      </c>
      <c r="D3093" s="8" t="str">
        <f>"9783110471014"</f>
        <v>9783110471014</v>
      </c>
    </row>
    <row r="3094" spans="1:4" x14ac:dyDescent="0.25">
      <c r="A3094" s="7" t="s">
        <v>7729</v>
      </c>
      <c r="B3094" s="8" t="s">
        <v>7730</v>
      </c>
      <c r="C3094" s="8" t="s">
        <v>993</v>
      </c>
      <c r="D3094" s="8" t="str">
        <f>"9783839430934"</f>
        <v>9783839430934</v>
      </c>
    </row>
    <row r="3095" spans="1:4" x14ac:dyDescent="0.25">
      <c r="A3095" s="7" t="s">
        <v>5104</v>
      </c>
      <c r="B3095" s="8" t="s">
        <v>5105</v>
      </c>
      <c r="C3095" s="8" t="s">
        <v>5086</v>
      </c>
      <c r="D3095" s="8" t="str">
        <f>"9783658314897"</f>
        <v>9783658314897</v>
      </c>
    </row>
    <row r="3096" spans="1:4" x14ac:dyDescent="0.25">
      <c r="A3096" s="7" t="s">
        <v>4011</v>
      </c>
      <c r="B3096" s="8" t="s">
        <v>37</v>
      </c>
      <c r="C3096" s="8" t="s">
        <v>1345</v>
      </c>
      <c r="D3096" s="8" t="str">
        <f>"9783737605090"</f>
        <v>9783737605090</v>
      </c>
    </row>
    <row r="3097" spans="1:4" ht="30" x14ac:dyDescent="0.25">
      <c r="A3097" s="7" t="s">
        <v>1760</v>
      </c>
      <c r="B3097" s="8" t="s">
        <v>1761</v>
      </c>
      <c r="C3097" s="8" t="s">
        <v>1345</v>
      </c>
      <c r="D3097" s="8" t="str">
        <f>"9783862194179"</f>
        <v>9783862194179</v>
      </c>
    </row>
    <row r="3098" spans="1:4" ht="30" x14ac:dyDescent="0.25">
      <c r="A3098" s="7" t="s">
        <v>11522</v>
      </c>
      <c r="B3098" s="8" t="s">
        <v>11523</v>
      </c>
      <c r="C3098" s="8" t="s">
        <v>355</v>
      </c>
      <c r="D3098" s="8" t="str">
        <f>"9783110731361"</f>
        <v>9783110731361</v>
      </c>
    </row>
    <row r="3099" spans="1:4" ht="45" x14ac:dyDescent="0.25">
      <c r="A3099" s="7" t="s">
        <v>15438</v>
      </c>
      <c r="B3099" s="8" t="s">
        <v>15439</v>
      </c>
      <c r="C3099" s="8" t="s">
        <v>1865</v>
      </c>
      <c r="D3099" s="8" t="str">
        <f>"9789175193625"</f>
        <v>9789175193625</v>
      </c>
    </row>
    <row r="3100" spans="1:4" x14ac:dyDescent="0.25">
      <c r="A3100" s="7" t="s">
        <v>694</v>
      </c>
      <c r="B3100" s="8" t="s">
        <v>695</v>
      </c>
      <c r="C3100" s="8" t="s">
        <v>316</v>
      </c>
      <c r="D3100" s="8" t="str">
        <f>"9783110325980"</f>
        <v>9783110325980</v>
      </c>
    </row>
    <row r="3101" spans="1:4" ht="30" x14ac:dyDescent="0.25">
      <c r="A3101" s="7" t="s">
        <v>6793</v>
      </c>
      <c r="B3101" s="8" t="s">
        <v>6794</v>
      </c>
      <c r="C3101" s="8" t="s">
        <v>4245</v>
      </c>
      <c r="D3101" s="8" t="str">
        <f>"9789813367616"</f>
        <v>9789813367616</v>
      </c>
    </row>
    <row r="3102" spans="1:4" x14ac:dyDescent="0.25">
      <c r="A3102" s="7" t="s">
        <v>3474</v>
      </c>
      <c r="B3102" s="8" t="s">
        <v>3475</v>
      </c>
      <c r="C3102" s="8" t="s">
        <v>1865</v>
      </c>
      <c r="D3102" s="8" t="str">
        <f>"9789176854037"</f>
        <v>9789176854037</v>
      </c>
    </row>
    <row r="3103" spans="1:4" x14ac:dyDescent="0.25">
      <c r="A3103" s="7" t="s">
        <v>1881</v>
      </c>
      <c r="B3103" s="8" t="s">
        <v>1882</v>
      </c>
      <c r="C3103" s="8" t="s">
        <v>1879</v>
      </c>
      <c r="D3103" s="8" t="str">
        <f>"9781909254466"</f>
        <v>9781909254466</v>
      </c>
    </row>
    <row r="3104" spans="1:4" x14ac:dyDescent="0.25">
      <c r="A3104" s="7" t="s">
        <v>2329</v>
      </c>
      <c r="B3104" s="8" t="s">
        <v>1882</v>
      </c>
      <c r="C3104" s="8" t="s">
        <v>1879</v>
      </c>
      <c r="D3104" s="8" t="str">
        <f>"9781783740345"</f>
        <v>9781783740345</v>
      </c>
    </row>
    <row r="3105" spans="1:4" x14ac:dyDescent="0.25">
      <c r="A3105" s="7" t="s">
        <v>12534</v>
      </c>
      <c r="B3105" s="8" t="s">
        <v>12535</v>
      </c>
      <c r="C3105" s="8" t="s">
        <v>2273</v>
      </c>
      <c r="D3105" s="8" t="str">
        <f>"9783031017919"</f>
        <v>9783031017919</v>
      </c>
    </row>
    <row r="3106" spans="1:4" x14ac:dyDescent="0.25">
      <c r="A3106" s="7" t="s">
        <v>12709</v>
      </c>
      <c r="B3106" s="8" t="s">
        <v>12710</v>
      </c>
      <c r="C3106" s="8" t="s">
        <v>2274</v>
      </c>
      <c r="D3106" s="8" t="str">
        <f>"9789811919831"</f>
        <v>9789811919831</v>
      </c>
    </row>
    <row r="3107" spans="1:4" ht="45" x14ac:dyDescent="0.25">
      <c r="A3107" s="7" t="s">
        <v>7798</v>
      </c>
      <c r="B3107" s="8" t="s">
        <v>7799</v>
      </c>
      <c r="C3107" s="8" t="s">
        <v>2273</v>
      </c>
      <c r="D3107" s="8" t="str">
        <f>"9783030452315"</f>
        <v>9783030452315</v>
      </c>
    </row>
    <row r="3108" spans="1:4" ht="60" x14ac:dyDescent="0.25">
      <c r="A3108" s="7" t="s">
        <v>6642</v>
      </c>
      <c r="B3108" s="8" t="s">
        <v>6643</v>
      </c>
      <c r="C3108" s="8" t="s">
        <v>2273</v>
      </c>
      <c r="D3108" s="8" t="str">
        <f>"9783030719951"</f>
        <v>9783030719951</v>
      </c>
    </row>
    <row r="3109" spans="1:4" ht="45" x14ac:dyDescent="0.25">
      <c r="A3109" s="7" t="s">
        <v>9545</v>
      </c>
      <c r="B3109" s="8" t="s">
        <v>9546</v>
      </c>
      <c r="C3109" s="8" t="s">
        <v>2273</v>
      </c>
      <c r="D3109" s="8" t="str">
        <f>"9783030992538"</f>
        <v>9783030992538</v>
      </c>
    </row>
    <row r="3110" spans="1:4" ht="45" x14ac:dyDescent="0.25">
      <c r="A3110" s="7" t="s">
        <v>5450</v>
      </c>
      <c r="B3110" s="8" t="s">
        <v>5451</v>
      </c>
      <c r="C3110" s="8" t="s">
        <v>5064</v>
      </c>
      <c r="D3110" s="8" t="str">
        <f>"9789813226609"</f>
        <v>9789813226609</v>
      </c>
    </row>
    <row r="3111" spans="1:4" ht="45" x14ac:dyDescent="0.25">
      <c r="A3111" s="7" t="s">
        <v>1146</v>
      </c>
      <c r="B3111" s="8" t="s">
        <v>28</v>
      </c>
      <c r="C3111" s="8" t="s">
        <v>316</v>
      </c>
      <c r="D3111" s="8" t="str">
        <f>"9783110875102"</f>
        <v>9783110875102</v>
      </c>
    </row>
    <row r="3112" spans="1:4" ht="30" x14ac:dyDescent="0.25">
      <c r="A3112" s="7" t="s">
        <v>14715</v>
      </c>
      <c r="B3112" s="8" t="s">
        <v>14716</v>
      </c>
      <c r="C3112" s="8" t="s">
        <v>1865</v>
      </c>
      <c r="D3112" s="8" t="str">
        <f>"9789173932257"</f>
        <v>9789173932257</v>
      </c>
    </row>
    <row r="3113" spans="1:4" ht="30" x14ac:dyDescent="0.25">
      <c r="A3113" s="7" t="s">
        <v>14832</v>
      </c>
      <c r="B3113" s="8" t="s">
        <v>3011</v>
      </c>
      <c r="C3113" s="8" t="s">
        <v>1865</v>
      </c>
      <c r="D3113" s="8" t="str">
        <f>"9789175192628"</f>
        <v>9789175192628</v>
      </c>
    </row>
    <row r="3114" spans="1:4" ht="30" x14ac:dyDescent="0.25">
      <c r="A3114" s="7" t="s">
        <v>16068</v>
      </c>
      <c r="B3114" s="8" t="s">
        <v>16069</v>
      </c>
      <c r="C3114" s="8" t="s">
        <v>1865</v>
      </c>
      <c r="D3114" s="8" t="str">
        <f>"9789176850350"</f>
        <v>9789176850350</v>
      </c>
    </row>
    <row r="3115" spans="1:4" x14ac:dyDescent="0.25">
      <c r="A3115" s="7" t="s">
        <v>2321</v>
      </c>
      <c r="B3115" s="8" t="s">
        <v>2322</v>
      </c>
      <c r="C3115" s="8" t="s">
        <v>355</v>
      </c>
      <c r="D3115" s="8" t="str">
        <f>"9783110472097"</f>
        <v>9783110472097</v>
      </c>
    </row>
    <row r="3116" spans="1:4" x14ac:dyDescent="0.25">
      <c r="A3116" s="7" t="s">
        <v>12029</v>
      </c>
      <c r="B3116" s="8" t="s">
        <v>12030</v>
      </c>
      <c r="C3116" s="8" t="s">
        <v>355</v>
      </c>
      <c r="D3116" s="8" t="str">
        <f>"9783110749496"</f>
        <v>9783110749496</v>
      </c>
    </row>
    <row r="3117" spans="1:4" ht="30" x14ac:dyDescent="0.25">
      <c r="A3117" s="7" t="s">
        <v>14361</v>
      </c>
      <c r="B3117" s="8" t="s">
        <v>14362</v>
      </c>
      <c r="C3117" s="8" t="s">
        <v>1879</v>
      </c>
      <c r="D3117" s="8" t="str">
        <f>"9781800647954"</f>
        <v>9781800647954</v>
      </c>
    </row>
    <row r="3118" spans="1:4" x14ac:dyDescent="0.25">
      <c r="A3118" s="7" t="s">
        <v>8198</v>
      </c>
      <c r="B3118" s="8" t="s">
        <v>8199</v>
      </c>
      <c r="C3118" s="8" t="s">
        <v>993</v>
      </c>
      <c r="D3118" s="8" t="str">
        <f>"9783839451212"</f>
        <v>9783839451212</v>
      </c>
    </row>
    <row r="3119" spans="1:4" x14ac:dyDescent="0.25">
      <c r="A3119" s="7" t="s">
        <v>2343</v>
      </c>
      <c r="B3119" s="8" t="s">
        <v>2344</v>
      </c>
      <c r="C3119" s="8" t="s">
        <v>1345</v>
      </c>
      <c r="D3119" s="8" t="str">
        <f>"9783862198276"</f>
        <v>9783862198276</v>
      </c>
    </row>
    <row r="3120" spans="1:4" ht="30" x14ac:dyDescent="0.25">
      <c r="A3120" s="7" t="s">
        <v>7624</v>
      </c>
      <c r="B3120" s="8" t="s">
        <v>7625</v>
      </c>
      <c r="C3120" s="8" t="s">
        <v>993</v>
      </c>
      <c r="D3120" s="8" t="str">
        <f>"9783839423448"</f>
        <v>9783839423448</v>
      </c>
    </row>
    <row r="3121" spans="1:4" x14ac:dyDescent="0.25">
      <c r="A3121" s="7" t="s">
        <v>274</v>
      </c>
      <c r="B3121" s="8" t="s">
        <v>275</v>
      </c>
      <c r="C3121" s="8" t="s">
        <v>227</v>
      </c>
      <c r="D3121" s="8" t="str">
        <f>"9781847790132"</f>
        <v>9781847790132</v>
      </c>
    </row>
    <row r="3122" spans="1:4" ht="30" x14ac:dyDescent="0.25">
      <c r="A3122" s="7" t="s">
        <v>16355</v>
      </c>
      <c r="B3122" s="8" t="s">
        <v>16356</v>
      </c>
      <c r="C3122" s="8" t="s">
        <v>1865</v>
      </c>
      <c r="D3122" s="8" t="str">
        <f>"9789175199474"</f>
        <v>9789175199474</v>
      </c>
    </row>
    <row r="3123" spans="1:4" x14ac:dyDescent="0.25">
      <c r="A3123" s="7" t="s">
        <v>7584</v>
      </c>
      <c r="B3123" s="8" t="s">
        <v>7585</v>
      </c>
      <c r="C3123" s="8" t="s">
        <v>993</v>
      </c>
      <c r="D3123" s="8" t="str">
        <f>"9783839418123"</f>
        <v>9783839418123</v>
      </c>
    </row>
    <row r="3124" spans="1:4" x14ac:dyDescent="0.25">
      <c r="A3124" s="7" t="s">
        <v>6904</v>
      </c>
      <c r="B3124" s="8" t="s">
        <v>6905</v>
      </c>
      <c r="C3124" s="8" t="s">
        <v>1865</v>
      </c>
      <c r="D3124" s="8" t="str">
        <f>"9789179296469"</f>
        <v>9789179296469</v>
      </c>
    </row>
    <row r="3125" spans="1:4" x14ac:dyDescent="0.25">
      <c r="A3125" s="7" t="s">
        <v>10956</v>
      </c>
      <c r="B3125" s="8" t="s">
        <v>10957</v>
      </c>
      <c r="C3125" s="8" t="s">
        <v>9138</v>
      </c>
      <c r="D3125" s="8" t="str">
        <f>"9780520972773"</f>
        <v>9780520972773</v>
      </c>
    </row>
    <row r="3126" spans="1:4" x14ac:dyDescent="0.25">
      <c r="A3126" s="7" t="s">
        <v>11176</v>
      </c>
      <c r="B3126" s="8" t="s">
        <v>11177</v>
      </c>
      <c r="C3126" s="8" t="s">
        <v>355</v>
      </c>
      <c r="D3126" s="8" t="str">
        <f>"9783110720372"</f>
        <v>9783110720372</v>
      </c>
    </row>
    <row r="3127" spans="1:4" x14ac:dyDescent="0.25">
      <c r="A3127" s="7" t="s">
        <v>3331</v>
      </c>
      <c r="B3127" s="8" t="s">
        <v>3332</v>
      </c>
      <c r="C3127" s="8" t="s">
        <v>1865</v>
      </c>
      <c r="D3127" s="8" t="str">
        <f>"9789176854198"</f>
        <v>9789176854198</v>
      </c>
    </row>
    <row r="3128" spans="1:4" ht="30" x14ac:dyDescent="0.25">
      <c r="A3128" s="7" t="s">
        <v>12197</v>
      </c>
      <c r="B3128" s="8" t="s">
        <v>12198</v>
      </c>
      <c r="C3128" s="8" t="s">
        <v>2273</v>
      </c>
      <c r="D3128" s="8" t="str">
        <f>"9783030956837"</f>
        <v>9783030956837</v>
      </c>
    </row>
    <row r="3129" spans="1:4" x14ac:dyDescent="0.25">
      <c r="A3129" s="7" t="s">
        <v>10933</v>
      </c>
      <c r="B3129" s="8" t="s">
        <v>10934</v>
      </c>
      <c r="C3129" s="8" t="s">
        <v>355</v>
      </c>
      <c r="D3129" s="8" t="str">
        <f>"9783110557176"</f>
        <v>9783110557176</v>
      </c>
    </row>
    <row r="3130" spans="1:4" x14ac:dyDescent="0.25">
      <c r="A3130" s="7" t="s">
        <v>14507</v>
      </c>
      <c r="B3130" s="8" t="s">
        <v>14508</v>
      </c>
      <c r="C3130" s="8" t="s">
        <v>1865</v>
      </c>
      <c r="D3130" s="8" t="str">
        <f>"9789179293413"</f>
        <v>9789179293413</v>
      </c>
    </row>
    <row r="3131" spans="1:4" x14ac:dyDescent="0.25">
      <c r="A3131" s="7" t="s">
        <v>11839</v>
      </c>
      <c r="B3131" s="8" t="s">
        <v>11280</v>
      </c>
      <c r="C3131" s="8" t="s">
        <v>355</v>
      </c>
      <c r="D3131" s="8" t="str">
        <f>"9783110590647"</f>
        <v>9783110590647</v>
      </c>
    </row>
    <row r="3132" spans="1:4" x14ac:dyDescent="0.25">
      <c r="A3132" s="7" t="s">
        <v>287</v>
      </c>
      <c r="B3132" s="8" t="s">
        <v>288</v>
      </c>
      <c r="C3132" s="8" t="s">
        <v>227</v>
      </c>
      <c r="D3132" s="8" t="str">
        <f>"9781847790347"</f>
        <v>9781847790347</v>
      </c>
    </row>
    <row r="3133" spans="1:4" ht="30" x14ac:dyDescent="0.25">
      <c r="A3133" s="7" t="s">
        <v>2210</v>
      </c>
      <c r="B3133" s="8" t="s">
        <v>2211</v>
      </c>
      <c r="C3133" s="8" t="s">
        <v>355</v>
      </c>
      <c r="D3133" s="8" t="str">
        <f>"9783486850482"</f>
        <v>9783486850482</v>
      </c>
    </row>
    <row r="3134" spans="1:4" x14ac:dyDescent="0.25">
      <c r="A3134" s="7" t="s">
        <v>7259</v>
      </c>
      <c r="B3134" s="8" t="s">
        <v>7260</v>
      </c>
      <c r="C3134" s="8" t="s">
        <v>355</v>
      </c>
      <c r="D3134" s="8" t="str">
        <f>"9783110595925"</f>
        <v>9783110595925</v>
      </c>
    </row>
    <row r="3135" spans="1:4" ht="30" x14ac:dyDescent="0.25">
      <c r="A3135" s="7" t="s">
        <v>1201</v>
      </c>
      <c r="B3135" s="8" t="s">
        <v>1202</v>
      </c>
      <c r="C3135" s="8" t="s">
        <v>355</v>
      </c>
      <c r="D3135" s="8" t="str">
        <f>"9783486843583"</f>
        <v>9783486843583</v>
      </c>
    </row>
    <row r="3136" spans="1:4" ht="30" x14ac:dyDescent="0.25">
      <c r="A3136" s="7" t="s">
        <v>9942</v>
      </c>
      <c r="B3136" s="8" t="s">
        <v>9943</v>
      </c>
      <c r="C3136" s="8" t="s">
        <v>993</v>
      </c>
      <c r="D3136" s="8" t="str">
        <f>"9783839408452"</f>
        <v>9783839408452</v>
      </c>
    </row>
    <row r="3137" spans="1:4" ht="30" x14ac:dyDescent="0.25">
      <c r="A3137" s="7" t="s">
        <v>4359</v>
      </c>
      <c r="B3137" s="8" t="s">
        <v>4360</v>
      </c>
      <c r="C3137" s="8" t="s">
        <v>1865</v>
      </c>
      <c r="D3137" s="8" t="str">
        <f>"9789176851326"</f>
        <v>9789176851326</v>
      </c>
    </row>
    <row r="3138" spans="1:4" x14ac:dyDescent="0.25">
      <c r="A3138" s="7" t="s">
        <v>14883</v>
      </c>
      <c r="B3138" s="8" t="s">
        <v>14884</v>
      </c>
      <c r="C3138" s="8" t="s">
        <v>1865</v>
      </c>
      <c r="D3138" s="8" t="str">
        <f>"9789173939355"</f>
        <v>9789173939355</v>
      </c>
    </row>
    <row r="3139" spans="1:4" ht="30" x14ac:dyDescent="0.25">
      <c r="A3139" s="7" t="s">
        <v>14662</v>
      </c>
      <c r="B3139" s="8" t="s">
        <v>14663</v>
      </c>
      <c r="C3139" s="8" t="s">
        <v>1865</v>
      </c>
      <c r="D3139" s="8" t="str">
        <f>"9789179291020"</f>
        <v>9789179291020</v>
      </c>
    </row>
    <row r="3140" spans="1:4" x14ac:dyDescent="0.25">
      <c r="A3140" s="7" t="s">
        <v>1296</v>
      </c>
      <c r="B3140" s="8" t="s">
        <v>1297</v>
      </c>
      <c r="C3140" s="8" t="s">
        <v>1224</v>
      </c>
      <c r="D3140" s="8" t="str">
        <f>"9781618111807"</f>
        <v>9781618111807</v>
      </c>
    </row>
    <row r="3141" spans="1:4" ht="45" x14ac:dyDescent="0.25">
      <c r="A3141" s="7" t="s">
        <v>9394</v>
      </c>
      <c r="B3141" s="8" t="s">
        <v>215</v>
      </c>
      <c r="C3141" s="8" t="s">
        <v>9256</v>
      </c>
      <c r="D3141" s="8" t="str">
        <f>"9788021097445"</f>
        <v>9788021097445</v>
      </c>
    </row>
    <row r="3142" spans="1:4" ht="30" x14ac:dyDescent="0.25">
      <c r="A3142" s="7" t="s">
        <v>10821</v>
      </c>
      <c r="B3142" s="8" t="s">
        <v>10822</v>
      </c>
      <c r="C3142" s="8" t="s">
        <v>1342</v>
      </c>
      <c r="D3142" s="8" t="str">
        <f>"9789633864487"</f>
        <v>9789633864487</v>
      </c>
    </row>
    <row r="3143" spans="1:4" x14ac:dyDescent="0.25">
      <c r="A3143" s="7" t="s">
        <v>7172</v>
      </c>
      <c r="B3143" s="8" t="s">
        <v>7174</v>
      </c>
      <c r="C3143" s="8" t="s">
        <v>7173</v>
      </c>
      <c r="D3143" s="8" t="str">
        <f>"9783839445303"</f>
        <v>9783839445303</v>
      </c>
    </row>
    <row r="3144" spans="1:4" x14ac:dyDescent="0.25">
      <c r="A3144" s="7" t="s">
        <v>8140</v>
      </c>
      <c r="B3144" s="8" t="s">
        <v>7174</v>
      </c>
      <c r="C3144" s="8" t="s">
        <v>993</v>
      </c>
      <c r="D3144" s="8" t="str">
        <f>"9783839455746"</f>
        <v>9783839455746</v>
      </c>
    </row>
    <row r="3145" spans="1:4" x14ac:dyDescent="0.25">
      <c r="A3145" s="7" t="s">
        <v>10412</v>
      </c>
      <c r="B3145" s="8" t="s">
        <v>10217</v>
      </c>
      <c r="C3145" s="8" t="s">
        <v>993</v>
      </c>
      <c r="D3145" s="8" t="str">
        <f>"9783839455722"</f>
        <v>9783839455722</v>
      </c>
    </row>
    <row r="3146" spans="1:4" x14ac:dyDescent="0.25">
      <c r="A3146" s="7" t="s">
        <v>8378</v>
      </c>
      <c r="B3146" s="8" t="s">
        <v>7250</v>
      </c>
      <c r="C3146" s="8" t="s">
        <v>993</v>
      </c>
      <c r="D3146" s="8" t="str">
        <f>"9783839457610"</f>
        <v>9783839457610</v>
      </c>
    </row>
    <row r="3147" spans="1:4" ht="30" x14ac:dyDescent="0.25">
      <c r="A3147" s="7" t="s">
        <v>13666</v>
      </c>
      <c r="B3147" s="8" t="s">
        <v>13667</v>
      </c>
      <c r="C3147" s="8" t="s">
        <v>5086</v>
      </c>
      <c r="D3147" s="8" t="str">
        <f>"9783658397616"</f>
        <v>9783658397616</v>
      </c>
    </row>
    <row r="3148" spans="1:4" x14ac:dyDescent="0.25">
      <c r="A3148" s="7" t="s">
        <v>5907</v>
      </c>
      <c r="B3148" s="8" t="s">
        <v>92</v>
      </c>
      <c r="C3148" s="8" t="s">
        <v>5086</v>
      </c>
      <c r="D3148" s="8" t="str">
        <f>"9783658126445"</f>
        <v>9783658126445</v>
      </c>
    </row>
    <row r="3149" spans="1:4" x14ac:dyDescent="0.25">
      <c r="A3149" s="7" t="s">
        <v>8737</v>
      </c>
      <c r="B3149" s="8" t="s">
        <v>92</v>
      </c>
      <c r="C3149" s="8" t="s">
        <v>5086</v>
      </c>
      <c r="D3149" s="8" t="str">
        <f>"9783658353179"</f>
        <v>9783658353179</v>
      </c>
    </row>
    <row r="3150" spans="1:4" ht="30" x14ac:dyDescent="0.25">
      <c r="A3150" s="7" t="s">
        <v>10191</v>
      </c>
      <c r="B3150" s="8" t="s">
        <v>10192</v>
      </c>
      <c r="C3150" s="8" t="s">
        <v>993</v>
      </c>
      <c r="D3150" s="8" t="str">
        <f>"9783839443576"</f>
        <v>9783839443576</v>
      </c>
    </row>
    <row r="3151" spans="1:4" ht="30" x14ac:dyDescent="0.25">
      <c r="A3151" s="7" t="s">
        <v>12300</v>
      </c>
      <c r="B3151" s="8" t="s">
        <v>12301</v>
      </c>
      <c r="C3151" s="8" t="s">
        <v>993</v>
      </c>
      <c r="D3151" s="8" t="str">
        <f>"9783839460436"</f>
        <v>9783839460436</v>
      </c>
    </row>
    <row r="3152" spans="1:4" x14ac:dyDescent="0.25">
      <c r="A3152" s="7" t="s">
        <v>9176</v>
      </c>
      <c r="B3152" s="8" t="s">
        <v>9177</v>
      </c>
      <c r="C3152" s="8" t="s">
        <v>4882</v>
      </c>
      <c r="D3152" s="8" t="str">
        <f>"9781781386590"</f>
        <v>9781781386590</v>
      </c>
    </row>
    <row r="3153" spans="1:4" x14ac:dyDescent="0.25">
      <c r="A3153" s="7" t="s">
        <v>15193</v>
      </c>
      <c r="B3153" s="8" t="s">
        <v>15194</v>
      </c>
      <c r="C3153" s="8" t="s">
        <v>1865</v>
      </c>
      <c r="D3153" s="8" t="str">
        <f>"9789176852415"</f>
        <v>9789176852415</v>
      </c>
    </row>
    <row r="3154" spans="1:4" x14ac:dyDescent="0.25">
      <c r="A3154" s="7" t="s">
        <v>6207</v>
      </c>
      <c r="B3154" s="8" t="s">
        <v>6208</v>
      </c>
      <c r="C3154" s="8" t="s">
        <v>2273</v>
      </c>
      <c r="D3154" s="8" t="str">
        <f>"9783319433509"</f>
        <v>9783319433509</v>
      </c>
    </row>
    <row r="3155" spans="1:4" ht="30" x14ac:dyDescent="0.25">
      <c r="A3155" s="7" t="s">
        <v>16251</v>
      </c>
      <c r="B3155" s="8" t="s">
        <v>16252</v>
      </c>
      <c r="C3155" s="8" t="s">
        <v>1865</v>
      </c>
      <c r="D3155" s="8" t="str">
        <f>"9789176858127"</f>
        <v>9789176858127</v>
      </c>
    </row>
    <row r="3156" spans="1:4" ht="30" x14ac:dyDescent="0.25">
      <c r="A3156" s="7" t="s">
        <v>8233</v>
      </c>
      <c r="B3156" s="8" t="s">
        <v>8234</v>
      </c>
      <c r="C3156" s="8" t="s">
        <v>993</v>
      </c>
      <c r="D3156" s="8" t="str">
        <f>"9783839453476"</f>
        <v>9783839453476</v>
      </c>
    </row>
    <row r="3157" spans="1:4" ht="30" x14ac:dyDescent="0.25">
      <c r="A3157" s="7" t="s">
        <v>1033</v>
      </c>
      <c r="B3157" s="8" t="s">
        <v>1034</v>
      </c>
      <c r="C3157" s="8" t="s">
        <v>355</v>
      </c>
      <c r="D3157" s="8" t="str">
        <f>"9783110404692"</f>
        <v>9783110404692</v>
      </c>
    </row>
    <row r="3158" spans="1:4" ht="30" x14ac:dyDescent="0.25">
      <c r="A3158" s="7" t="s">
        <v>2576</v>
      </c>
      <c r="B3158" s="8" t="s">
        <v>2577</v>
      </c>
      <c r="C3158" s="8" t="s">
        <v>355</v>
      </c>
      <c r="D3158" s="8" t="str">
        <f>"9783486853766"</f>
        <v>9783486853766</v>
      </c>
    </row>
    <row r="3159" spans="1:4" x14ac:dyDescent="0.25">
      <c r="A3159" s="7" t="s">
        <v>8466</v>
      </c>
      <c r="B3159" s="8" t="s">
        <v>8246</v>
      </c>
      <c r="C3159" s="8" t="s">
        <v>993</v>
      </c>
      <c r="D3159" s="8" t="str">
        <f>"9783839453810"</f>
        <v>9783839453810</v>
      </c>
    </row>
    <row r="3160" spans="1:4" x14ac:dyDescent="0.25">
      <c r="A3160" s="7" t="s">
        <v>8245</v>
      </c>
      <c r="B3160" s="8" t="s">
        <v>8246</v>
      </c>
      <c r="C3160" s="8" t="s">
        <v>993</v>
      </c>
      <c r="D3160" s="8" t="str">
        <f>"9783839457863"</f>
        <v>9783839457863</v>
      </c>
    </row>
    <row r="3161" spans="1:4" x14ac:dyDescent="0.25">
      <c r="A3161" s="7" t="s">
        <v>12364</v>
      </c>
      <c r="B3161" s="8" t="s">
        <v>8246</v>
      </c>
      <c r="C3161" s="8" t="s">
        <v>993</v>
      </c>
      <c r="D3161" s="8" t="str">
        <f>"9783839464038"</f>
        <v>9783839464038</v>
      </c>
    </row>
    <row r="3162" spans="1:4" ht="30" x14ac:dyDescent="0.25">
      <c r="A3162" s="7" t="s">
        <v>13024</v>
      </c>
      <c r="B3162" s="8" t="s">
        <v>13007</v>
      </c>
      <c r="C3162" s="8" t="s">
        <v>12712</v>
      </c>
      <c r="D3162" s="8" t="str">
        <f>"9783428469789"</f>
        <v>9783428469789</v>
      </c>
    </row>
    <row r="3163" spans="1:4" x14ac:dyDescent="0.25">
      <c r="A3163" s="7" t="s">
        <v>11328</v>
      </c>
      <c r="B3163" s="8" t="s">
        <v>11329</v>
      </c>
      <c r="C3163" s="8" t="s">
        <v>355</v>
      </c>
      <c r="D3163" s="8" t="str">
        <f>"9783110639544"</f>
        <v>9783110639544</v>
      </c>
    </row>
    <row r="3164" spans="1:4" ht="30" x14ac:dyDescent="0.25">
      <c r="A3164" s="7" t="s">
        <v>13057</v>
      </c>
      <c r="B3164" s="8" t="s">
        <v>13058</v>
      </c>
      <c r="C3164" s="8" t="s">
        <v>12712</v>
      </c>
      <c r="D3164" s="8" t="str">
        <f>"9783428557318"</f>
        <v>9783428557318</v>
      </c>
    </row>
    <row r="3165" spans="1:4" ht="30" x14ac:dyDescent="0.25">
      <c r="A3165" s="7" t="s">
        <v>2641</v>
      </c>
      <c r="B3165" s="8" t="s">
        <v>2642</v>
      </c>
      <c r="C3165" s="8" t="s">
        <v>1345</v>
      </c>
      <c r="D3165" s="8" t="str">
        <f>"9783737601153"</f>
        <v>9783737601153</v>
      </c>
    </row>
    <row r="3166" spans="1:4" x14ac:dyDescent="0.25">
      <c r="A3166" s="7" t="s">
        <v>10772</v>
      </c>
      <c r="B3166" s="8" t="s">
        <v>10773</v>
      </c>
      <c r="C3166" s="8" t="s">
        <v>1876</v>
      </c>
      <c r="D3166" s="8" t="str">
        <f>"9781921867972"</f>
        <v>9781921867972</v>
      </c>
    </row>
    <row r="3167" spans="1:4" x14ac:dyDescent="0.25">
      <c r="A3167" s="7" t="s">
        <v>4411</v>
      </c>
      <c r="B3167" s="8" t="s">
        <v>4412</v>
      </c>
      <c r="C3167" s="8" t="s">
        <v>1879</v>
      </c>
      <c r="D3167" s="8" t="str">
        <f>"9781783745517"</f>
        <v>9781783745517</v>
      </c>
    </row>
    <row r="3168" spans="1:4" ht="30" x14ac:dyDescent="0.25">
      <c r="A3168" s="7" t="s">
        <v>10858</v>
      </c>
      <c r="B3168" s="8" t="s">
        <v>6272</v>
      </c>
      <c r="C3168" s="8" t="s">
        <v>2273</v>
      </c>
      <c r="D3168" s="8" t="str">
        <f>"9783030917166"</f>
        <v>9783030917166</v>
      </c>
    </row>
    <row r="3169" spans="1:4" x14ac:dyDescent="0.25">
      <c r="A3169" s="7" t="s">
        <v>4173</v>
      </c>
      <c r="B3169" s="8" t="s">
        <v>4174</v>
      </c>
      <c r="C3169" s="8" t="s">
        <v>1865</v>
      </c>
      <c r="D3169" s="8" t="str">
        <f>"9789176852262"</f>
        <v>9789176852262</v>
      </c>
    </row>
    <row r="3170" spans="1:4" ht="30" x14ac:dyDescent="0.25">
      <c r="A3170" s="7" t="s">
        <v>9552</v>
      </c>
      <c r="B3170" s="8" t="s">
        <v>9553</v>
      </c>
      <c r="C3170" s="8" t="s">
        <v>2273</v>
      </c>
      <c r="D3170" s="8" t="str">
        <f>"9783030964122"</f>
        <v>9783030964122</v>
      </c>
    </row>
    <row r="3171" spans="1:4" x14ac:dyDescent="0.25">
      <c r="A3171" s="7" t="s">
        <v>2143</v>
      </c>
      <c r="B3171" s="8" t="s">
        <v>2144</v>
      </c>
      <c r="C3171" s="8" t="s">
        <v>1879</v>
      </c>
      <c r="D3171" s="8" t="str">
        <f>"9781783740642"</f>
        <v>9781783740642</v>
      </c>
    </row>
    <row r="3172" spans="1:4" x14ac:dyDescent="0.25">
      <c r="A3172" s="7" t="s">
        <v>14725</v>
      </c>
      <c r="B3172" s="8" t="s">
        <v>14726</v>
      </c>
      <c r="C3172" s="8" t="s">
        <v>1865</v>
      </c>
      <c r="D3172" s="8" t="str">
        <f>"9789176857946"</f>
        <v>9789176857946</v>
      </c>
    </row>
    <row r="3173" spans="1:4" x14ac:dyDescent="0.25">
      <c r="A3173" s="7" t="s">
        <v>10740</v>
      </c>
      <c r="B3173" s="8" t="s">
        <v>10741</v>
      </c>
      <c r="C3173" s="8" t="s">
        <v>1876</v>
      </c>
      <c r="D3173" s="8" t="str">
        <f>"9780980510812"</f>
        <v>9780980510812</v>
      </c>
    </row>
    <row r="3174" spans="1:4" x14ac:dyDescent="0.25">
      <c r="A3174" s="7" t="s">
        <v>14695</v>
      </c>
      <c r="B3174" s="8" t="s">
        <v>14696</v>
      </c>
      <c r="C3174" s="8" t="s">
        <v>1865</v>
      </c>
      <c r="D3174" s="8" t="str">
        <f>"9789179291716"</f>
        <v>9789179291716</v>
      </c>
    </row>
    <row r="3175" spans="1:4" x14ac:dyDescent="0.25">
      <c r="A3175" s="7" t="s">
        <v>7833</v>
      </c>
      <c r="B3175" s="8" t="s">
        <v>2390</v>
      </c>
      <c r="C3175" s="8" t="s">
        <v>1879</v>
      </c>
      <c r="D3175" s="8" t="str">
        <f>"9781800642140"</f>
        <v>9781800642140</v>
      </c>
    </row>
    <row r="3176" spans="1:4" x14ac:dyDescent="0.25">
      <c r="A3176" s="7" t="s">
        <v>4175</v>
      </c>
      <c r="B3176" s="8" t="s">
        <v>4176</v>
      </c>
      <c r="C3176" s="8" t="s">
        <v>329</v>
      </c>
      <c r="D3176" s="8" t="str">
        <f>"9789048543526"</f>
        <v>9789048543526</v>
      </c>
    </row>
    <row r="3177" spans="1:4" ht="30" x14ac:dyDescent="0.25">
      <c r="A3177" s="7" t="s">
        <v>16096</v>
      </c>
      <c r="B3177" s="8" t="s">
        <v>16097</v>
      </c>
      <c r="C3177" s="8" t="s">
        <v>1865</v>
      </c>
      <c r="D3177" s="8" t="str">
        <f>"9789185895700"</f>
        <v>9789185895700</v>
      </c>
    </row>
    <row r="3178" spans="1:4" x14ac:dyDescent="0.25">
      <c r="A3178" s="7" t="s">
        <v>676</v>
      </c>
      <c r="B3178" s="8" t="s">
        <v>477</v>
      </c>
      <c r="C3178" s="8" t="s">
        <v>316</v>
      </c>
      <c r="D3178" s="8" t="str">
        <f>"9783110327199"</f>
        <v>9783110327199</v>
      </c>
    </row>
    <row r="3179" spans="1:4" x14ac:dyDescent="0.25">
      <c r="A3179" s="7" t="s">
        <v>5216</v>
      </c>
      <c r="B3179" s="8" t="s">
        <v>5217</v>
      </c>
      <c r="C3179" s="8" t="s">
        <v>2273</v>
      </c>
      <c r="D3179" s="8" t="str">
        <f>"9783030548025"</f>
        <v>9783030548025</v>
      </c>
    </row>
    <row r="3180" spans="1:4" ht="30" x14ac:dyDescent="0.25">
      <c r="A3180" s="7" t="s">
        <v>5024</v>
      </c>
      <c r="B3180" s="8" t="s">
        <v>5025</v>
      </c>
      <c r="C3180" s="8" t="s">
        <v>355</v>
      </c>
      <c r="D3180" s="8" t="str">
        <f>"9783110668780"</f>
        <v>9783110668780</v>
      </c>
    </row>
    <row r="3181" spans="1:4" ht="30" x14ac:dyDescent="0.25">
      <c r="A3181" s="7" t="s">
        <v>6995</v>
      </c>
      <c r="B3181" s="8" t="s">
        <v>5025</v>
      </c>
      <c r="C3181" s="8" t="s">
        <v>355</v>
      </c>
      <c r="D3181" s="8" t="str">
        <f>"9783110668797"</f>
        <v>9783110668797</v>
      </c>
    </row>
    <row r="3182" spans="1:4" ht="30" x14ac:dyDescent="0.25">
      <c r="A3182" s="7" t="s">
        <v>7664</v>
      </c>
      <c r="B3182" s="8" t="s">
        <v>7665</v>
      </c>
      <c r="C3182" s="8" t="s">
        <v>993</v>
      </c>
      <c r="D3182" s="8" t="str">
        <f>"9783839426425"</f>
        <v>9783839426425</v>
      </c>
    </row>
    <row r="3183" spans="1:4" x14ac:dyDescent="0.25">
      <c r="A3183" s="7" t="s">
        <v>6933</v>
      </c>
      <c r="B3183" s="8" t="s">
        <v>6934</v>
      </c>
      <c r="C3183" s="8" t="s">
        <v>4245</v>
      </c>
      <c r="D3183" s="8" t="str">
        <f>"9789811628818"</f>
        <v>9789811628818</v>
      </c>
    </row>
    <row r="3184" spans="1:4" ht="30" x14ac:dyDescent="0.25">
      <c r="A3184" s="7" t="s">
        <v>15222</v>
      </c>
      <c r="B3184" s="8" t="s">
        <v>15223</v>
      </c>
      <c r="C3184" s="8" t="s">
        <v>1865</v>
      </c>
      <c r="D3184" s="8" t="str">
        <f>"9789176858042"</f>
        <v>9789176858042</v>
      </c>
    </row>
    <row r="3185" spans="1:4" x14ac:dyDescent="0.25">
      <c r="A3185" s="7" t="s">
        <v>10801</v>
      </c>
      <c r="B3185" s="8" t="s">
        <v>10802</v>
      </c>
      <c r="C3185" s="8" t="s">
        <v>1876</v>
      </c>
      <c r="D3185" s="8" t="str">
        <f>"9781925495812"</f>
        <v>9781925495812</v>
      </c>
    </row>
    <row r="3186" spans="1:4" x14ac:dyDescent="0.25">
      <c r="A3186" s="7" t="s">
        <v>7055</v>
      </c>
      <c r="B3186" s="8" t="s">
        <v>7056</v>
      </c>
      <c r="C3186" s="8" t="s">
        <v>355</v>
      </c>
      <c r="D3186" s="8" t="str">
        <f>"9783110634440"</f>
        <v>9783110634440</v>
      </c>
    </row>
    <row r="3187" spans="1:4" x14ac:dyDescent="0.25">
      <c r="A3187" s="7" t="s">
        <v>8041</v>
      </c>
      <c r="B3187" s="8" t="s">
        <v>8042</v>
      </c>
      <c r="C3187" s="8" t="s">
        <v>4882</v>
      </c>
      <c r="D3187" s="8" t="str">
        <f>"9781789622584"</f>
        <v>9781789622584</v>
      </c>
    </row>
    <row r="3188" spans="1:4" ht="30" x14ac:dyDescent="0.25">
      <c r="A3188" s="7" t="s">
        <v>9108</v>
      </c>
      <c r="B3188" s="8" t="s">
        <v>9109</v>
      </c>
      <c r="C3188" s="8" t="s">
        <v>1036</v>
      </c>
      <c r="D3188" s="8" t="str">
        <f>"9789027258267"</f>
        <v>9789027258267</v>
      </c>
    </row>
    <row r="3189" spans="1:4" ht="30" x14ac:dyDescent="0.25">
      <c r="A3189" s="7" t="s">
        <v>1896</v>
      </c>
      <c r="B3189" s="8" t="s">
        <v>1897</v>
      </c>
      <c r="C3189" s="8" t="s">
        <v>1879</v>
      </c>
      <c r="D3189" s="8" t="str">
        <f>"9781906924898"</f>
        <v>9781906924898</v>
      </c>
    </row>
    <row r="3190" spans="1:4" x14ac:dyDescent="0.25">
      <c r="A3190" s="7" t="s">
        <v>7112</v>
      </c>
      <c r="B3190" s="8" t="s">
        <v>7113</v>
      </c>
      <c r="C3190" s="8" t="s">
        <v>329</v>
      </c>
      <c r="D3190" s="8" t="str">
        <f>"9789048544905"</f>
        <v>9789048544905</v>
      </c>
    </row>
    <row r="3191" spans="1:4" x14ac:dyDescent="0.25">
      <c r="A3191" s="7" t="s">
        <v>6474</v>
      </c>
      <c r="B3191" s="8" t="s">
        <v>6475</v>
      </c>
      <c r="C3191" s="8" t="s">
        <v>4245</v>
      </c>
      <c r="D3191" s="8" t="str">
        <f>"9789811588488"</f>
        <v>9789811588488</v>
      </c>
    </row>
    <row r="3192" spans="1:4" ht="45" x14ac:dyDescent="0.25">
      <c r="A3192" s="7" t="s">
        <v>3999</v>
      </c>
      <c r="B3192" s="8" t="s">
        <v>4000</v>
      </c>
      <c r="C3192" s="8" t="s">
        <v>1345</v>
      </c>
      <c r="D3192" s="8" t="str">
        <f>"9783737605199"</f>
        <v>9783737605199</v>
      </c>
    </row>
    <row r="3193" spans="1:4" ht="60" x14ac:dyDescent="0.25">
      <c r="A3193" s="7" t="s">
        <v>1647</v>
      </c>
      <c r="B3193" s="8" t="s">
        <v>1648</v>
      </c>
      <c r="C3193" s="8" t="s">
        <v>1345</v>
      </c>
      <c r="D3193" s="8" t="str">
        <f>"9783862194278"</f>
        <v>9783862194278</v>
      </c>
    </row>
    <row r="3194" spans="1:4" x14ac:dyDescent="0.25">
      <c r="A3194" s="7" t="s">
        <v>2741</v>
      </c>
      <c r="B3194" s="8" t="s">
        <v>2742</v>
      </c>
      <c r="C3194" s="8" t="s">
        <v>1865</v>
      </c>
      <c r="D3194" s="8" t="str">
        <f>"9789176858349"</f>
        <v>9789176858349</v>
      </c>
    </row>
    <row r="3195" spans="1:4" x14ac:dyDescent="0.25">
      <c r="A3195" s="7" t="s">
        <v>4207</v>
      </c>
      <c r="B3195" s="8" t="s">
        <v>4208</v>
      </c>
      <c r="C3195" s="8" t="s">
        <v>993</v>
      </c>
      <c r="D3195" s="8" t="str">
        <f>"9783839445020"</f>
        <v>9783839445020</v>
      </c>
    </row>
    <row r="3196" spans="1:4" ht="30" x14ac:dyDescent="0.25">
      <c r="A3196" s="7" t="s">
        <v>6178</v>
      </c>
      <c r="B3196" s="8" t="s">
        <v>6179</v>
      </c>
      <c r="C3196" s="8" t="s">
        <v>5107</v>
      </c>
      <c r="D3196" s="8" t="str">
        <f>"9784431543060"</f>
        <v>9784431543060</v>
      </c>
    </row>
    <row r="3197" spans="1:4" x14ac:dyDescent="0.25">
      <c r="A3197" s="7" t="s">
        <v>15983</v>
      </c>
      <c r="B3197" s="8" t="s">
        <v>15984</v>
      </c>
      <c r="C3197" s="8" t="s">
        <v>1865</v>
      </c>
      <c r="D3197" s="8" t="str">
        <f>"9789176857854"</f>
        <v>9789176857854</v>
      </c>
    </row>
    <row r="3198" spans="1:4" ht="30" x14ac:dyDescent="0.25">
      <c r="A3198" s="7" t="s">
        <v>9401</v>
      </c>
      <c r="B3198" s="8" t="s">
        <v>9402</v>
      </c>
      <c r="C3198" s="8" t="s">
        <v>9256</v>
      </c>
      <c r="D3198" s="8" t="str">
        <f>"9788021097674"</f>
        <v>9788021097674</v>
      </c>
    </row>
    <row r="3199" spans="1:4" x14ac:dyDescent="0.25">
      <c r="A3199" s="7" t="s">
        <v>15388</v>
      </c>
      <c r="B3199" s="8" t="s">
        <v>15389</v>
      </c>
      <c r="C3199" s="8" t="s">
        <v>1865</v>
      </c>
      <c r="D3199" s="8" t="str">
        <f>"9789185523023"</f>
        <v>9789185523023</v>
      </c>
    </row>
    <row r="3200" spans="1:4" x14ac:dyDescent="0.25">
      <c r="A3200" s="7" t="s">
        <v>6765</v>
      </c>
      <c r="B3200" s="8" t="s">
        <v>6766</v>
      </c>
      <c r="C3200" s="8" t="s">
        <v>1865</v>
      </c>
      <c r="D3200" s="8" t="str">
        <f>"9789179296759"</f>
        <v>9789179296759</v>
      </c>
    </row>
    <row r="3201" spans="1:4" ht="45" x14ac:dyDescent="0.25">
      <c r="A3201" s="7" t="s">
        <v>6611</v>
      </c>
      <c r="B3201" s="8" t="s">
        <v>6612</v>
      </c>
      <c r="C3201" s="8" t="s">
        <v>2273</v>
      </c>
      <c r="D3201" s="8" t="str">
        <f>"9783030715007"</f>
        <v>9783030715007</v>
      </c>
    </row>
    <row r="3202" spans="1:4" ht="45" x14ac:dyDescent="0.25">
      <c r="A3202" s="7" t="s">
        <v>9541</v>
      </c>
      <c r="B3202" s="8" t="s">
        <v>9542</v>
      </c>
      <c r="C3202" s="8" t="s">
        <v>2273</v>
      </c>
      <c r="D3202" s="8" t="str">
        <f>"9783030994297"</f>
        <v>9783030994297</v>
      </c>
    </row>
    <row r="3203" spans="1:4" x14ac:dyDescent="0.25">
      <c r="A3203" s="7" t="s">
        <v>16360</v>
      </c>
      <c r="B3203" s="8" t="s">
        <v>16361</v>
      </c>
      <c r="C3203" s="8" t="s">
        <v>1865</v>
      </c>
      <c r="D3203" s="8" t="str">
        <f>"9789175198569"</f>
        <v>9789175198569</v>
      </c>
    </row>
    <row r="3204" spans="1:4" ht="30" x14ac:dyDescent="0.25">
      <c r="A3204" s="7" t="s">
        <v>14823</v>
      </c>
      <c r="B3204" s="8" t="s">
        <v>14824</v>
      </c>
      <c r="C3204" s="8" t="s">
        <v>1865</v>
      </c>
      <c r="D3204" s="8" t="str">
        <f>"9789175193526"</f>
        <v>9789175193526</v>
      </c>
    </row>
    <row r="3205" spans="1:4" x14ac:dyDescent="0.25">
      <c r="A3205" s="7" t="s">
        <v>4565</v>
      </c>
      <c r="B3205" s="8" t="s">
        <v>4566</v>
      </c>
      <c r="C3205" s="8" t="s">
        <v>355</v>
      </c>
      <c r="D3205" s="8" t="str">
        <f>"9783110567311"</f>
        <v>9783110567311</v>
      </c>
    </row>
    <row r="3206" spans="1:4" x14ac:dyDescent="0.25">
      <c r="A3206" s="7" t="s">
        <v>5857</v>
      </c>
      <c r="B3206" s="8" t="s">
        <v>5858</v>
      </c>
      <c r="C3206" s="8" t="s">
        <v>5228</v>
      </c>
      <c r="D3206" s="8" t="str">
        <f>"9781137377029"</f>
        <v>9781137377029</v>
      </c>
    </row>
    <row r="3207" spans="1:4" x14ac:dyDescent="0.25">
      <c r="A3207" s="7" t="s">
        <v>15919</v>
      </c>
      <c r="B3207" s="8" t="s">
        <v>15920</v>
      </c>
      <c r="C3207" s="8" t="s">
        <v>1865</v>
      </c>
      <c r="D3207" s="8" t="str">
        <f>"9789185715770"</f>
        <v>9789185715770</v>
      </c>
    </row>
    <row r="3208" spans="1:4" x14ac:dyDescent="0.25">
      <c r="A3208" s="7" t="s">
        <v>11240</v>
      </c>
      <c r="B3208" s="8" t="s">
        <v>11241</v>
      </c>
      <c r="C3208" s="8" t="s">
        <v>355</v>
      </c>
      <c r="D3208" s="8" t="str">
        <f>"9783111715599"</f>
        <v>9783111715599</v>
      </c>
    </row>
    <row r="3209" spans="1:4" ht="30" x14ac:dyDescent="0.25">
      <c r="A3209" s="7" t="s">
        <v>11821</v>
      </c>
      <c r="B3209" s="8" t="s">
        <v>178</v>
      </c>
      <c r="C3209" s="8" t="s">
        <v>355</v>
      </c>
      <c r="D3209" s="8" t="str">
        <f>"9783110661255"</f>
        <v>9783110661255</v>
      </c>
    </row>
    <row r="3210" spans="1:4" x14ac:dyDescent="0.25">
      <c r="A3210" s="7" t="s">
        <v>6111</v>
      </c>
      <c r="B3210" s="8" t="s">
        <v>6112</v>
      </c>
      <c r="C3210" s="8" t="s">
        <v>5086</v>
      </c>
      <c r="D3210" s="8" t="str">
        <f>"9783658292973"</f>
        <v>9783658292973</v>
      </c>
    </row>
    <row r="3211" spans="1:4" ht="30" x14ac:dyDescent="0.25">
      <c r="A3211" s="7" t="s">
        <v>5408</v>
      </c>
      <c r="B3211" s="8" t="s">
        <v>5409</v>
      </c>
      <c r="C3211" s="8" t="s">
        <v>2273</v>
      </c>
      <c r="D3211" s="8" t="str">
        <f>"9783030538477"</f>
        <v>9783030538477</v>
      </c>
    </row>
    <row r="3212" spans="1:4" x14ac:dyDescent="0.25">
      <c r="A3212" s="7" t="s">
        <v>7159</v>
      </c>
      <c r="B3212" s="8" t="s">
        <v>7160</v>
      </c>
      <c r="C3212" s="8" t="s">
        <v>355</v>
      </c>
      <c r="D3212" s="8" t="str">
        <f>"9783110669398"</f>
        <v>9783110669398</v>
      </c>
    </row>
    <row r="3213" spans="1:4" x14ac:dyDescent="0.25">
      <c r="A3213" s="7" t="s">
        <v>11977</v>
      </c>
      <c r="B3213" s="8" t="s">
        <v>11978</v>
      </c>
      <c r="C3213" s="8" t="s">
        <v>355</v>
      </c>
      <c r="D3213" s="8" t="str">
        <f>"9783111369914"</f>
        <v>9783111369914</v>
      </c>
    </row>
    <row r="3214" spans="1:4" ht="30" x14ac:dyDescent="0.25">
      <c r="A3214" s="7" t="s">
        <v>12331</v>
      </c>
      <c r="B3214" s="8" t="s">
        <v>12332</v>
      </c>
      <c r="C3214" s="8" t="s">
        <v>993</v>
      </c>
      <c r="D3214" s="8" t="str">
        <f>"9783839461570"</f>
        <v>9783839461570</v>
      </c>
    </row>
    <row r="3215" spans="1:4" ht="30" x14ac:dyDescent="0.25">
      <c r="A3215" s="7" t="s">
        <v>4054</v>
      </c>
      <c r="B3215" s="8" t="s">
        <v>4055</v>
      </c>
      <c r="C3215" s="8" t="s">
        <v>1865</v>
      </c>
      <c r="D3215" s="8" t="str">
        <f>"9789176852330"</f>
        <v>9789176852330</v>
      </c>
    </row>
    <row r="3216" spans="1:4" x14ac:dyDescent="0.25">
      <c r="A3216" s="7" t="s">
        <v>11793</v>
      </c>
      <c r="B3216" s="8" t="s">
        <v>11794</v>
      </c>
      <c r="C3216" s="8" t="s">
        <v>355</v>
      </c>
      <c r="D3216" s="8" t="str">
        <f>"9783111403748"</f>
        <v>9783111403748</v>
      </c>
    </row>
    <row r="3217" spans="1:4" x14ac:dyDescent="0.25">
      <c r="A3217" s="7" t="s">
        <v>15370</v>
      </c>
      <c r="B3217" s="8" t="s">
        <v>15371</v>
      </c>
      <c r="C3217" s="8" t="s">
        <v>1865</v>
      </c>
      <c r="D3217" s="8" t="str">
        <f>"9789175198880"</f>
        <v>9789175198880</v>
      </c>
    </row>
    <row r="3218" spans="1:4" ht="30" x14ac:dyDescent="0.25">
      <c r="A3218" s="7" t="s">
        <v>956</v>
      </c>
      <c r="B3218" s="8" t="s">
        <v>957</v>
      </c>
      <c r="C3218" s="8" t="s">
        <v>355</v>
      </c>
      <c r="D3218" s="8" t="str">
        <f>"9783110406597"</f>
        <v>9783110406597</v>
      </c>
    </row>
    <row r="3219" spans="1:4" x14ac:dyDescent="0.25">
      <c r="A3219" s="7" t="s">
        <v>2664</v>
      </c>
      <c r="B3219" s="8" t="s">
        <v>957</v>
      </c>
      <c r="C3219" s="8" t="s">
        <v>355</v>
      </c>
      <c r="D3219" s="8" t="str">
        <f>"9783110454055"</f>
        <v>9783110454055</v>
      </c>
    </row>
    <row r="3220" spans="1:4" ht="30" x14ac:dyDescent="0.25">
      <c r="A3220" s="7" t="s">
        <v>2665</v>
      </c>
      <c r="B3220" s="8" t="s">
        <v>957</v>
      </c>
      <c r="C3220" s="8" t="s">
        <v>355</v>
      </c>
      <c r="D3220" s="8" t="str">
        <f>"9783110463989"</f>
        <v>9783110463989</v>
      </c>
    </row>
    <row r="3221" spans="1:4" x14ac:dyDescent="0.25">
      <c r="A3221" s="7" t="s">
        <v>494</v>
      </c>
      <c r="B3221" s="8" t="s">
        <v>495</v>
      </c>
      <c r="C3221" s="8" t="s">
        <v>316</v>
      </c>
      <c r="D3221" s="8" t="str">
        <f>"9783110260779"</f>
        <v>9783110260779</v>
      </c>
    </row>
    <row r="3222" spans="1:4" x14ac:dyDescent="0.25">
      <c r="A3222" s="7" t="s">
        <v>11338</v>
      </c>
      <c r="B3222" s="8" t="s">
        <v>7250</v>
      </c>
      <c r="C3222" s="8" t="s">
        <v>355</v>
      </c>
      <c r="D3222" s="8" t="str">
        <f>"9783110694772"</f>
        <v>9783110694772</v>
      </c>
    </row>
    <row r="3223" spans="1:4" ht="30" x14ac:dyDescent="0.25">
      <c r="A3223" s="7" t="s">
        <v>4906</v>
      </c>
      <c r="B3223" s="8" t="s">
        <v>4907</v>
      </c>
      <c r="C3223" s="8" t="s">
        <v>1879</v>
      </c>
      <c r="D3223" s="8" t="str">
        <f>"9781783748891"</f>
        <v>9781783748891</v>
      </c>
    </row>
    <row r="3224" spans="1:4" x14ac:dyDescent="0.25">
      <c r="A3224" s="7" t="s">
        <v>10206</v>
      </c>
      <c r="B3224" s="8" t="s">
        <v>10207</v>
      </c>
      <c r="C3224" s="8" t="s">
        <v>993</v>
      </c>
      <c r="D3224" s="8" t="str">
        <f>"9783839444153"</f>
        <v>9783839444153</v>
      </c>
    </row>
    <row r="3225" spans="1:4" x14ac:dyDescent="0.25">
      <c r="A3225" s="7" t="s">
        <v>10186</v>
      </c>
      <c r="B3225" s="8" t="s">
        <v>8135</v>
      </c>
      <c r="C3225" s="8" t="s">
        <v>993</v>
      </c>
      <c r="D3225" s="8" t="str">
        <f>"9783839443040"</f>
        <v>9783839443040</v>
      </c>
    </row>
    <row r="3226" spans="1:4" ht="30" x14ac:dyDescent="0.25">
      <c r="A3226" s="7" t="s">
        <v>7356</v>
      </c>
      <c r="B3226" s="8" t="s">
        <v>7357</v>
      </c>
      <c r="C3226" s="8" t="s">
        <v>2273</v>
      </c>
      <c r="D3226" s="8" t="str">
        <f>"9783030749101"</f>
        <v>9783030749101</v>
      </c>
    </row>
    <row r="3227" spans="1:4" x14ac:dyDescent="0.25">
      <c r="A3227" s="7" t="s">
        <v>535</v>
      </c>
      <c r="B3227" s="8" t="s">
        <v>536</v>
      </c>
      <c r="C3227" s="8" t="s">
        <v>355</v>
      </c>
      <c r="D3227" s="8" t="str">
        <f>"9783110312836"</f>
        <v>9783110312836</v>
      </c>
    </row>
    <row r="3228" spans="1:4" ht="30" x14ac:dyDescent="0.25">
      <c r="A3228" s="7" t="s">
        <v>6148</v>
      </c>
      <c r="B3228" s="8" t="s">
        <v>6122</v>
      </c>
      <c r="C3228" s="8" t="s">
        <v>5086</v>
      </c>
      <c r="D3228" s="8" t="str">
        <f>"9783658226480"</f>
        <v>9783658226480</v>
      </c>
    </row>
    <row r="3229" spans="1:4" x14ac:dyDescent="0.25">
      <c r="A3229" s="7" t="s">
        <v>4069</v>
      </c>
      <c r="B3229" s="8" t="s">
        <v>4070</v>
      </c>
      <c r="C3229" s="8" t="s">
        <v>562</v>
      </c>
      <c r="D3229" s="8" t="str">
        <f>"9781478002505"</f>
        <v>9781478002505</v>
      </c>
    </row>
    <row r="3230" spans="1:4" x14ac:dyDescent="0.25">
      <c r="A3230" s="7" t="s">
        <v>3179</v>
      </c>
      <c r="B3230" s="8" t="s">
        <v>3180</v>
      </c>
      <c r="C3230" s="8" t="s">
        <v>1865</v>
      </c>
      <c r="D3230" s="8" t="str">
        <f>"9789176855256"</f>
        <v>9789176855256</v>
      </c>
    </row>
    <row r="3231" spans="1:4" ht="30" x14ac:dyDescent="0.25">
      <c r="A3231" s="7" t="s">
        <v>1569</v>
      </c>
      <c r="B3231" s="8" t="s">
        <v>1570</v>
      </c>
      <c r="C3231" s="8" t="s">
        <v>1345</v>
      </c>
      <c r="D3231" s="8" t="str">
        <f>"9783862193219"</f>
        <v>9783862193219</v>
      </c>
    </row>
    <row r="3232" spans="1:4" x14ac:dyDescent="0.25">
      <c r="A3232" s="7" t="s">
        <v>4342</v>
      </c>
      <c r="B3232" s="8" t="s">
        <v>4343</v>
      </c>
      <c r="C3232" s="8" t="s">
        <v>1865</v>
      </c>
      <c r="D3232" s="8" t="str">
        <f>"9789176851623"</f>
        <v>9789176851623</v>
      </c>
    </row>
    <row r="3233" spans="1:4" ht="30" x14ac:dyDescent="0.25">
      <c r="A3233" s="7" t="s">
        <v>6381</v>
      </c>
      <c r="B3233" s="8" t="s">
        <v>6382</v>
      </c>
      <c r="C3233" s="8" t="s">
        <v>2273</v>
      </c>
      <c r="D3233" s="8" t="str">
        <f>"9783030493882"</f>
        <v>9783030493882</v>
      </c>
    </row>
    <row r="3234" spans="1:4" ht="30" x14ac:dyDescent="0.25">
      <c r="A3234" s="7" t="s">
        <v>14084</v>
      </c>
      <c r="B3234" s="8" t="s">
        <v>14085</v>
      </c>
      <c r="C3234" s="8" t="s">
        <v>993</v>
      </c>
      <c r="D3234" s="8" t="str">
        <f>"9783839462942"</f>
        <v>9783839462942</v>
      </c>
    </row>
    <row r="3235" spans="1:4" ht="30" x14ac:dyDescent="0.25">
      <c r="A3235" s="7" t="s">
        <v>12087</v>
      </c>
      <c r="B3235" s="8" t="s">
        <v>5002</v>
      </c>
      <c r="C3235" s="8" t="s">
        <v>355</v>
      </c>
      <c r="D3235" s="8" t="str">
        <f>"9783110751321"</f>
        <v>9783110751321</v>
      </c>
    </row>
    <row r="3236" spans="1:4" x14ac:dyDescent="0.25">
      <c r="A3236" s="7" t="s">
        <v>12402</v>
      </c>
      <c r="B3236" s="8" t="s">
        <v>11519</v>
      </c>
      <c r="C3236" s="8" t="s">
        <v>355</v>
      </c>
      <c r="D3236" s="8" t="str">
        <f>"9783110769975"</f>
        <v>9783110769975</v>
      </c>
    </row>
    <row r="3237" spans="1:4" ht="30" x14ac:dyDescent="0.25">
      <c r="A3237" s="7" t="s">
        <v>11352</v>
      </c>
      <c r="B3237" s="8" t="s">
        <v>11353</v>
      </c>
      <c r="C3237" s="8" t="s">
        <v>355</v>
      </c>
      <c r="D3237" s="8" t="str">
        <f>"9783110725780"</f>
        <v>9783110725780</v>
      </c>
    </row>
    <row r="3238" spans="1:4" ht="30" x14ac:dyDescent="0.25">
      <c r="A3238" s="7" t="s">
        <v>8315</v>
      </c>
      <c r="B3238" s="8" t="s">
        <v>91</v>
      </c>
      <c r="C3238" s="8" t="s">
        <v>993</v>
      </c>
      <c r="D3238" s="8" t="str">
        <f>"9783839452042"</f>
        <v>9783839452042</v>
      </c>
    </row>
    <row r="3239" spans="1:4" x14ac:dyDescent="0.25">
      <c r="A3239" s="7" t="s">
        <v>13558</v>
      </c>
      <c r="B3239" s="8" t="s">
        <v>13559</v>
      </c>
      <c r="C3239" s="8" t="s">
        <v>5086</v>
      </c>
      <c r="D3239" s="8" t="str">
        <f>"9783658366896"</f>
        <v>9783658366896</v>
      </c>
    </row>
    <row r="3240" spans="1:4" ht="30" x14ac:dyDescent="0.25">
      <c r="A3240" s="7" t="s">
        <v>8297</v>
      </c>
      <c r="B3240" s="8" t="s">
        <v>8298</v>
      </c>
      <c r="C3240" s="8" t="s">
        <v>993</v>
      </c>
      <c r="D3240" s="8" t="str">
        <f>"9783839450116"</f>
        <v>9783839450116</v>
      </c>
    </row>
    <row r="3241" spans="1:4" x14ac:dyDescent="0.25">
      <c r="A3241" s="7" t="s">
        <v>6593</v>
      </c>
      <c r="B3241" s="8" t="s">
        <v>6594</v>
      </c>
      <c r="C3241" s="8" t="s">
        <v>993</v>
      </c>
      <c r="D3241" s="8" t="str">
        <f>"9783839454725"</f>
        <v>9783839454725</v>
      </c>
    </row>
    <row r="3242" spans="1:4" x14ac:dyDescent="0.25">
      <c r="A3242" s="7" t="s">
        <v>10591</v>
      </c>
      <c r="B3242" s="8" t="s">
        <v>10592</v>
      </c>
      <c r="C3242" s="8" t="s">
        <v>993</v>
      </c>
      <c r="D3242" s="8" t="str">
        <f>"9783839461211"</f>
        <v>9783839461211</v>
      </c>
    </row>
    <row r="3243" spans="1:4" x14ac:dyDescent="0.25">
      <c r="A3243" s="7" t="s">
        <v>5392</v>
      </c>
      <c r="B3243" s="8" t="s">
        <v>5393</v>
      </c>
      <c r="C3243" s="8" t="s">
        <v>993</v>
      </c>
      <c r="D3243" s="8" t="str">
        <f>"9783839451670"</f>
        <v>9783839451670</v>
      </c>
    </row>
    <row r="3244" spans="1:4" x14ac:dyDescent="0.25">
      <c r="A3244" s="7" t="s">
        <v>11604</v>
      </c>
      <c r="B3244" s="8" t="s">
        <v>11605</v>
      </c>
      <c r="C3244" s="8" t="s">
        <v>355</v>
      </c>
      <c r="D3244" s="8" t="str">
        <f>"9783110720112"</f>
        <v>9783110720112</v>
      </c>
    </row>
    <row r="3245" spans="1:4" x14ac:dyDescent="0.25">
      <c r="A3245" s="7" t="s">
        <v>7765</v>
      </c>
      <c r="B3245" s="8" t="s">
        <v>109</v>
      </c>
      <c r="C3245" s="8" t="s">
        <v>993</v>
      </c>
      <c r="D3245" s="8" t="str">
        <f>"9783839403280"</f>
        <v>9783839403280</v>
      </c>
    </row>
    <row r="3246" spans="1:4" ht="30" x14ac:dyDescent="0.25">
      <c r="A3246" s="7" t="s">
        <v>7221</v>
      </c>
      <c r="B3246" s="8" t="s">
        <v>7222</v>
      </c>
      <c r="C3246" s="8" t="s">
        <v>355</v>
      </c>
      <c r="D3246" s="8" t="str">
        <f>"9783110666816"</f>
        <v>9783110666816</v>
      </c>
    </row>
    <row r="3247" spans="1:4" x14ac:dyDescent="0.25">
      <c r="A3247" s="7" t="s">
        <v>12945</v>
      </c>
      <c r="B3247" s="8" t="s">
        <v>12946</v>
      </c>
      <c r="C3247" s="8" t="s">
        <v>12712</v>
      </c>
      <c r="D3247" s="8" t="str">
        <f>"9783428455300"</f>
        <v>9783428455300</v>
      </c>
    </row>
    <row r="3248" spans="1:4" ht="30" x14ac:dyDescent="0.25">
      <c r="A3248" s="7" t="s">
        <v>13339</v>
      </c>
      <c r="B3248" s="8" t="s">
        <v>13340</v>
      </c>
      <c r="C3248" s="8" t="s">
        <v>12712</v>
      </c>
      <c r="D3248" s="8" t="str">
        <f>"9783428574995"</f>
        <v>9783428574995</v>
      </c>
    </row>
    <row r="3249" spans="1:4" x14ac:dyDescent="0.25">
      <c r="A3249" s="7" t="s">
        <v>12907</v>
      </c>
      <c r="B3249" s="8" t="s">
        <v>12908</v>
      </c>
      <c r="C3249" s="8" t="s">
        <v>12712</v>
      </c>
      <c r="D3249" s="8" t="str">
        <f>"9783428447718"</f>
        <v>9783428447718</v>
      </c>
    </row>
    <row r="3250" spans="1:4" x14ac:dyDescent="0.25">
      <c r="A3250" s="7" t="s">
        <v>12986</v>
      </c>
      <c r="B3250" s="8" t="s">
        <v>12974</v>
      </c>
      <c r="C3250" s="8" t="s">
        <v>12712</v>
      </c>
      <c r="D3250" s="8" t="str">
        <f>"9783428461233"</f>
        <v>9783428461233</v>
      </c>
    </row>
    <row r="3251" spans="1:4" ht="30" x14ac:dyDescent="0.25">
      <c r="A3251" s="7" t="s">
        <v>12003</v>
      </c>
      <c r="B3251" s="8" t="s">
        <v>12004</v>
      </c>
      <c r="C3251" s="8" t="s">
        <v>355</v>
      </c>
      <c r="D3251" s="8" t="str">
        <f>"9783486777277"</f>
        <v>9783486777277</v>
      </c>
    </row>
    <row r="3252" spans="1:4" ht="60" x14ac:dyDescent="0.25">
      <c r="A3252" s="7" t="s">
        <v>13241</v>
      </c>
      <c r="B3252" s="8" t="s">
        <v>187</v>
      </c>
      <c r="C3252" s="8" t="s">
        <v>12712</v>
      </c>
      <c r="D3252" s="8" t="str">
        <f>"9783428573974"</f>
        <v>9783428573974</v>
      </c>
    </row>
    <row r="3253" spans="1:4" ht="45" x14ac:dyDescent="0.25">
      <c r="A3253" s="7" t="s">
        <v>13242</v>
      </c>
      <c r="B3253" s="8" t="s">
        <v>187</v>
      </c>
      <c r="C3253" s="8" t="s">
        <v>12712</v>
      </c>
      <c r="D3253" s="8" t="str">
        <f>"9783428573981"</f>
        <v>9783428573981</v>
      </c>
    </row>
    <row r="3254" spans="1:4" ht="45" x14ac:dyDescent="0.25">
      <c r="A3254" s="7" t="s">
        <v>13228</v>
      </c>
      <c r="B3254" s="8" t="s">
        <v>187</v>
      </c>
      <c r="C3254" s="8" t="s">
        <v>12712</v>
      </c>
      <c r="D3254" s="8" t="str">
        <f>"9783428573844"</f>
        <v>9783428573844</v>
      </c>
    </row>
    <row r="3255" spans="1:4" ht="45" x14ac:dyDescent="0.25">
      <c r="A3255" s="7" t="s">
        <v>13222</v>
      </c>
      <c r="B3255" s="8" t="s">
        <v>13072</v>
      </c>
      <c r="C3255" s="8" t="s">
        <v>12712</v>
      </c>
      <c r="D3255" s="8" t="str">
        <f>"9783428573806"</f>
        <v>9783428573806</v>
      </c>
    </row>
    <row r="3256" spans="1:4" ht="60" x14ac:dyDescent="0.25">
      <c r="A3256" s="7" t="s">
        <v>13225</v>
      </c>
      <c r="B3256" s="8" t="s">
        <v>13072</v>
      </c>
      <c r="C3256" s="8" t="s">
        <v>12712</v>
      </c>
      <c r="D3256" s="8" t="str">
        <f>"9783428573837"</f>
        <v>9783428573837</v>
      </c>
    </row>
    <row r="3257" spans="1:4" ht="45" x14ac:dyDescent="0.25">
      <c r="A3257" s="7" t="s">
        <v>13223</v>
      </c>
      <c r="B3257" s="8" t="s">
        <v>13224</v>
      </c>
      <c r="C3257" s="8" t="s">
        <v>12712</v>
      </c>
      <c r="D3257" s="8" t="str">
        <f>"9783428573813"</f>
        <v>9783428573813</v>
      </c>
    </row>
    <row r="3258" spans="1:4" ht="45" x14ac:dyDescent="0.25">
      <c r="A3258" s="7" t="s">
        <v>13226</v>
      </c>
      <c r="B3258" s="8" t="s">
        <v>13227</v>
      </c>
      <c r="C3258" s="8" t="s">
        <v>12712</v>
      </c>
      <c r="D3258" s="8" t="str">
        <f>"9783428573820"</f>
        <v>9783428573820</v>
      </c>
    </row>
    <row r="3259" spans="1:4" ht="30" x14ac:dyDescent="0.25">
      <c r="A3259" s="7" t="s">
        <v>12697</v>
      </c>
      <c r="B3259" s="8" t="s">
        <v>12698</v>
      </c>
      <c r="C3259" s="8" t="s">
        <v>355</v>
      </c>
      <c r="D3259" s="8" t="str">
        <f>"9783110756494"</f>
        <v>9783110756494</v>
      </c>
    </row>
    <row r="3260" spans="1:4" x14ac:dyDescent="0.25">
      <c r="A3260" s="7" t="s">
        <v>4593</v>
      </c>
      <c r="B3260" s="8" t="s">
        <v>4594</v>
      </c>
      <c r="C3260" s="8" t="s">
        <v>1345</v>
      </c>
      <c r="D3260" s="8" t="str">
        <f>"9783737607155"</f>
        <v>9783737607155</v>
      </c>
    </row>
    <row r="3261" spans="1:4" ht="45" x14ac:dyDescent="0.25">
      <c r="A3261" s="7" t="s">
        <v>1110</v>
      </c>
      <c r="B3261" s="8" t="s">
        <v>1088</v>
      </c>
      <c r="C3261" s="8" t="s">
        <v>316</v>
      </c>
      <c r="D3261" s="8" t="str">
        <f>"9783110903591"</f>
        <v>9783110903591</v>
      </c>
    </row>
    <row r="3262" spans="1:4" ht="30" x14ac:dyDescent="0.25">
      <c r="A3262" s="7" t="s">
        <v>923</v>
      </c>
      <c r="B3262" s="8" t="s">
        <v>96</v>
      </c>
      <c r="C3262" s="8" t="s">
        <v>316</v>
      </c>
      <c r="D3262" s="8" t="str">
        <f>"9783110402520"</f>
        <v>9783110402520</v>
      </c>
    </row>
    <row r="3263" spans="1:4" ht="30" x14ac:dyDescent="0.25">
      <c r="A3263" s="7" t="s">
        <v>7698</v>
      </c>
      <c r="B3263" s="8" t="s">
        <v>7699</v>
      </c>
      <c r="C3263" s="8" t="s">
        <v>993</v>
      </c>
      <c r="D3263" s="8" t="str">
        <f>"9783839429655"</f>
        <v>9783839429655</v>
      </c>
    </row>
    <row r="3264" spans="1:4" ht="30" x14ac:dyDescent="0.25">
      <c r="A3264" s="7" t="s">
        <v>10346</v>
      </c>
      <c r="B3264" s="8" t="s">
        <v>10347</v>
      </c>
      <c r="C3264" s="8" t="s">
        <v>993</v>
      </c>
      <c r="D3264" s="8" t="str">
        <f>"9783839449844"</f>
        <v>9783839449844</v>
      </c>
    </row>
    <row r="3265" spans="1:4" x14ac:dyDescent="0.25">
      <c r="A3265" s="7" t="s">
        <v>9468</v>
      </c>
      <c r="B3265" s="8" t="s">
        <v>9469</v>
      </c>
      <c r="C3265" s="8" t="s">
        <v>2273</v>
      </c>
      <c r="D3265" s="8" t="str">
        <f>"9783030919719"</f>
        <v>9783030919719</v>
      </c>
    </row>
    <row r="3266" spans="1:4" x14ac:dyDescent="0.25">
      <c r="A3266" s="7" t="s">
        <v>258</v>
      </c>
      <c r="B3266" s="8" t="s">
        <v>259</v>
      </c>
      <c r="C3266" s="8" t="s">
        <v>227</v>
      </c>
      <c r="D3266" s="8" t="str">
        <f>"9781847790187"</f>
        <v>9781847790187</v>
      </c>
    </row>
    <row r="3267" spans="1:4" ht="30" x14ac:dyDescent="0.25">
      <c r="A3267" s="7" t="s">
        <v>12584</v>
      </c>
      <c r="B3267" s="8" t="s">
        <v>12585</v>
      </c>
      <c r="C3267" s="8" t="s">
        <v>355</v>
      </c>
      <c r="D3267" s="8" t="str">
        <f>"9783110726404"</f>
        <v>9783110726404</v>
      </c>
    </row>
    <row r="3268" spans="1:4" x14ac:dyDescent="0.25">
      <c r="A3268" s="7" t="s">
        <v>7657</v>
      </c>
      <c r="B3268" s="8" t="s">
        <v>7658</v>
      </c>
      <c r="C3268" s="8" t="s">
        <v>993</v>
      </c>
      <c r="D3268" s="8" t="str">
        <f>"9783839424346"</f>
        <v>9783839424346</v>
      </c>
    </row>
    <row r="3269" spans="1:4" x14ac:dyDescent="0.25">
      <c r="A3269" s="7" t="s">
        <v>12279</v>
      </c>
      <c r="B3269" s="8" t="s">
        <v>12280</v>
      </c>
      <c r="C3269" s="8" t="s">
        <v>993</v>
      </c>
      <c r="D3269" s="8" t="str">
        <f>"9783839458075"</f>
        <v>9783839458075</v>
      </c>
    </row>
    <row r="3270" spans="1:4" x14ac:dyDescent="0.25">
      <c r="A3270" s="7" t="s">
        <v>9866</v>
      </c>
      <c r="B3270" s="8" t="s">
        <v>9867</v>
      </c>
      <c r="C3270" s="8" t="s">
        <v>993</v>
      </c>
      <c r="D3270" s="8" t="str">
        <f>"9783839406892"</f>
        <v>9783839406892</v>
      </c>
    </row>
    <row r="3271" spans="1:4" x14ac:dyDescent="0.25">
      <c r="A3271" s="7" t="s">
        <v>5601</v>
      </c>
      <c r="B3271" s="8" t="s">
        <v>5602</v>
      </c>
      <c r="C3271" s="8" t="s">
        <v>4332</v>
      </c>
      <c r="D3271" s="8" t="str">
        <f>"9781641893787"</f>
        <v>9781641893787</v>
      </c>
    </row>
    <row r="3272" spans="1:4" x14ac:dyDescent="0.25">
      <c r="A3272" s="7" t="s">
        <v>4042</v>
      </c>
      <c r="B3272" s="8" t="s">
        <v>4043</v>
      </c>
      <c r="C3272" s="8" t="s">
        <v>329</v>
      </c>
      <c r="D3272" s="8" t="str">
        <f>"9789048535262"</f>
        <v>9789048535262</v>
      </c>
    </row>
    <row r="3273" spans="1:4" x14ac:dyDescent="0.25">
      <c r="A3273" s="7" t="s">
        <v>6658</v>
      </c>
      <c r="B3273" s="8" t="s">
        <v>6659</v>
      </c>
      <c r="C3273" s="8" t="s">
        <v>1224</v>
      </c>
      <c r="D3273" s="8" t="str">
        <f>"9781618119070"</f>
        <v>9781618119070</v>
      </c>
    </row>
    <row r="3274" spans="1:4" x14ac:dyDescent="0.25">
      <c r="A3274" s="7" t="s">
        <v>856</v>
      </c>
      <c r="B3274" s="8" t="s">
        <v>857</v>
      </c>
      <c r="C3274" s="8" t="s">
        <v>355</v>
      </c>
      <c r="D3274" s="8" t="str">
        <f>"9783110363227"</f>
        <v>9783110363227</v>
      </c>
    </row>
    <row r="3275" spans="1:4" ht="30" x14ac:dyDescent="0.25">
      <c r="A3275" s="7" t="s">
        <v>7421</v>
      </c>
      <c r="B3275" s="8" t="s">
        <v>7422</v>
      </c>
      <c r="C3275" s="8" t="s">
        <v>993</v>
      </c>
      <c r="D3275" s="8" t="str">
        <f>"9783839432860"</f>
        <v>9783839432860</v>
      </c>
    </row>
    <row r="3276" spans="1:4" x14ac:dyDescent="0.25">
      <c r="A3276" s="7" t="s">
        <v>11212</v>
      </c>
      <c r="B3276" s="8" t="s">
        <v>11213</v>
      </c>
      <c r="C3276" s="8" t="s">
        <v>355</v>
      </c>
      <c r="D3276" s="8" t="str">
        <f>"9783110601299"</f>
        <v>9783110601299</v>
      </c>
    </row>
    <row r="3277" spans="1:4" x14ac:dyDescent="0.25">
      <c r="A3277" s="7" t="s">
        <v>13942</v>
      </c>
      <c r="B3277" s="8" t="s">
        <v>13943</v>
      </c>
      <c r="C3277" s="8" t="s">
        <v>2273</v>
      </c>
      <c r="D3277" s="8" t="str">
        <f>"9783031041181"</f>
        <v>9783031041181</v>
      </c>
    </row>
    <row r="3278" spans="1:4" x14ac:dyDescent="0.25">
      <c r="A3278" s="7" t="s">
        <v>15029</v>
      </c>
      <c r="B3278" s="8" t="s">
        <v>3758</v>
      </c>
      <c r="C3278" s="8" t="s">
        <v>1865</v>
      </c>
      <c r="D3278" s="8" t="str">
        <f>"9789176858929"</f>
        <v>9789176858929</v>
      </c>
    </row>
    <row r="3279" spans="1:4" ht="30" x14ac:dyDescent="0.25">
      <c r="A3279" s="7" t="s">
        <v>7600</v>
      </c>
      <c r="B3279" s="8" t="s">
        <v>108</v>
      </c>
      <c r="C3279" s="8" t="s">
        <v>993</v>
      </c>
      <c r="D3279" s="8" t="str">
        <f>"9783839419755"</f>
        <v>9783839419755</v>
      </c>
    </row>
    <row r="3280" spans="1:4" x14ac:dyDescent="0.25">
      <c r="A3280" s="7" t="s">
        <v>8535</v>
      </c>
      <c r="B3280" s="8" t="s">
        <v>8536</v>
      </c>
      <c r="C3280" s="8" t="s">
        <v>993</v>
      </c>
      <c r="D3280" s="8" t="str">
        <f>"9783839450086"</f>
        <v>9783839450086</v>
      </c>
    </row>
    <row r="3281" spans="1:4" ht="30" x14ac:dyDescent="0.25">
      <c r="A3281" s="7" t="s">
        <v>4655</v>
      </c>
      <c r="B3281" s="8" t="s">
        <v>4656</v>
      </c>
      <c r="C3281" s="8" t="s">
        <v>1345</v>
      </c>
      <c r="D3281" s="8" t="str">
        <f>"9783737607490"</f>
        <v>9783737607490</v>
      </c>
    </row>
    <row r="3282" spans="1:4" x14ac:dyDescent="0.25">
      <c r="A3282" s="7" t="s">
        <v>15909</v>
      </c>
      <c r="B3282" s="8" t="s">
        <v>15910</v>
      </c>
      <c r="C3282" s="8" t="s">
        <v>1865</v>
      </c>
      <c r="D3282" s="8" t="str">
        <f>"9789173939850"</f>
        <v>9789173939850</v>
      </c>
    </row>
    <row r="3283" spans="1:4" x14ac:dyDescent="0.25">
      <c r="A3283" s="7" t="s">
        <v>16258</v>
      </c>
      <c r="B3283" s="8" t="s">
        <v>16259</v>
      </c>
      <c r="C3283" s="8" t="s">
        <v>1865</v>
      </c>
      <c r="D3283" s="8" t="str">
        <f>"9789175191454"</f>
        <v>9789175191454</v>
      </c>
    </row>
    <row r="3284" spans="1:4" x14ac:dyDescent="0.25">
      <c r="A3284" s="7" t="s">
        <v>4802</v>
      </c>
      <c r="B3284" s="8" t="s">
        <v>4803</v>
      </c>
      <c r="C3284" s="8" t="s">
        <v>1865</v>
      </c>
      <c r="D3284" s="8" t="str">
        <f>"9789179299767"</f>
        <v>9789179299767</v>
      </c>
    </row>
    <row r="3285" spans="1:4" x14ac:dyDescent="0.25">
      <c r="A3285" s="7" t="s">
        <v>16342</v>
      </c>
      <c r="B3285" s="8" t="s">
        <v>16343</v>
      </c>
      <c r="C3285" s="8" t="s">
        <v>1865</v>
      </c>
      <c r="D3285" s="8" t="str">
        <f>"9789175199429"</f>
        <v>9789175199429</v>
      </c>
    </row>
    <row r="3286" spans="1:4" x14ac:dyDescent="0.25">
      <c r="A3286" s="7" t="s">
        <v>15202</v>
      </c>
      <c r="B3286" s="8" t="s">
        <v>15203</v>
      </c>
      <c r="C3286" s="8" t="s">
        <v>1865</v>
      </c>
      <c r="D3286" s="8" t="str">
        <f>"9789176856475"</f>
        <v>9789176856475</v>
      </c>
    </row>
    <row r="3287" spans="1:4" ht="30" x14ac:dyDescent="0.25">
      <c r="A3287" s="7" t="s">
        <v>3015</v>
      </c>
      <c r="B3287" s="8" t="s">
        <v>3016</v>
      </c>
      <c r="C3287" s="8" t="s">
        <v>1865</v>
      </c>
      <c r="D3287" s="8" t="str">
        <f>"9789176856055"</f>
        <v>9789176856055</v>
      </c>
    </row>
    <row r="3288" spans="1:4" ht="30" x14ac:dyDescent="0.25">
      <c r="A3288" s="7" t="s">
        <v>3721</v>
      </c>
      <c r="B3288" s="8" t="s">
        <v>3722</v>
      </c>
      <c r="C3288" s="8" t="s">
        <v>1865</v>
      </c>
      <c r="D3288" s="8" t="str">
        <f>"9789176852774"</f>
        <v>9789176852774</v>
      </c>
    </row>
    <row r="3289" spans="1:4" ht="30" x14ac:dyDescent="0.25">
      <c r="A3289" s="7" t="s">
        <v>15754</v>
      </c>
      <c r="B3289" s="8" t="s">
        <v>15755</v>
      </c>
      <c r="C3289" s="8" t="s">
        <v>1865</v>
      </c>
      <c r="D3289" s="8" t="str">
        <f>"9789176856659"</f>
        <v>9789176856659</v>
      </c>
    </row>
    <row r="3290" spans="1:4" x14ac:dyDescent="0.25">
      <c r="A3290" s="7" t="s">
        <v>1425</v>
      </c>
      <c r="B3290" s="8" t="s">
        <v>1426</v>
      </c>
      <c r="C3290" s="8" t="s">
        <v>1345</v>
      </c>
      <c r="D3290" s="8" t="str">
        <f>"9783899588736"</f>
        <v>9783899588736</v>
      </c>
    </row>
    <row r="3291" spans="1:4" x14ac:dyDescent="0.25">
      <c r="A3291" s="7" t="s">
        <v>2045</v>
      </c>
      <c r="B3291" s="8" t="s">
        <v>2046</v>
      </c>
      <c r="C3291" s="8" t="s">
        <v>1962</v>
      </c>
      <c r="D3291" s="8" t="str">
        <f>"9782759200986"</f>
        <v>9782759200986</v>
      </c>
    </row>
    <row r="3292" spans="1:4" x14ac:dyDescent="0.25">
      <c r="A3292" s="7" t="s">
        <v>2686</v>
      </c>
      <c r="B3292" s="8" t="s">
        <v>2687</v>
      </c>
      <c r="C3292" s="8" t="s">
        <v>329</v>
      </c>
      <c r="D3292" s="8" t="str">
        <f>"9789048518654"</f>
        <v>9789048518654</v>
      </c>
    </row>
    <row r="3293" spans="1:4" x14ac:dyDescent="0.25">
      <c r="A3293" s="7" t="s">
        <v>7249</v>
      </c>
      <c r="B3293" s="8" t="s">
        <v>7250</v>
      </c>
      <c r="C3293" s="8" t="s">
        <v>355</v>
      </c>
      <c r="D3293" s="8" t="str">
        <f>"9783110659054"</f>
        <v>9783110659054</v>
      </c>
    </row>
    <row r="3294" spans="1:4" x14ac:dyDescent="0.25">
      <c r="A3294" s="7" t="s">
        <v>6010</v>
      </c>
      <c r="B3294" s="8" t="s">
        <v>6011</v>
      </c>
      <c r="C3294" s="8" t="s">
        <v>2273</v>
      </c>
      <c r="D3294" s="8" t="str">
        <f>"9783319601922"</f>
        <v>9783319601922</v>
      </c>
    </row>
    <row r="3295" spans="1:4" ht="30" x14ac:dyDescent="0.25">
      <c r="A3295" s="7" t="s">
        <v>5445</v>
      </c>
      <c r="B3295" s="8" t="s">
        <v>5446</v>
      </c>
      <c r="C3295" s="8" t="s">
        <v>5064</v>
      </c>
      <c r="D3295" s="8" t="str">
        <f>"9781848165786"</f>
        <v>9781848165786</v>
      </c>
    </row>
    <row r="3296" spans="1:4" ht="30" x14ac:dyDescent="0.25">
      <c r="A3296" s="7" t="s">
        <v>5447</v>
      </c>
      <c r="B3296" s="8" t="s">
        <v>5448</v>
      </c>
      <c r="C3296" s="8" t="s">
        <v>5064</v>
      </c>
      <c r="D3296" s="8" t="str">
        <f>"9781848165632"</f>
        <v>9781848165632</v>
      </c>
    </row>
    <row r="3297" spans="1:4" x14ac:dyDescent="0.25">
      <c r="A3297" s="7" t="s">
        <v>4938</v>
      </c>
      <c r="B3297" s="8" t="s">
        <v>4939</v>
      </c>
      <c r="C3297" s="8" t="s">
        <v>1865</v>
      </c>
      <c r="D3297" s="8" t="str">
        <f>"9789179298487"</f>
        <v>9789179298487</v>
      </c>
    </row>
    <row r="3298" spans="1:4" x14ac:dyDescent="0.25">
      <c r="A3298" s="7" t="s">
        <v>2476</v>
      </c>
      <c r="B3298" s="8" t="s">
        <v>2477</v>
      </c>
      <c r="C3298" s="8" t="s">
        <v>1865</v>
      </c>
      <c r="D3298" s="8" t="str">
        <f>"9789176859322"</f>
        <v>9789176859322</v>
      </c>
    </row>
    <row r="3299" spans="1:4" x14ac:dyDescent="0.25">
      <c r="A3299" s="7" t="s">
        <v>11923</v>
      </c>
      <c r="B3299" s="8" t="s">
        <v>11924</v>
      </c>
      <c r="C3299" s="8" t="s">
        <v>355</v>
      </c>
      <c r="D3299" s="8" t="str">
        <f>"9788395720499"</f>
        <v>9788395720499</v>
      </c>
    </row>
    <row r="3300" spans="1:4" x14ac:dyDescent="0.25">
      <c r="A3300" s="7" t="s">
        <v>2748</v>
      </c>
      <c r="B3300" s="8" t="s">
        <v>2749</v>
      </c>
      <c r="C3300" s="8" t="s">
        <v>355</v>
      </c>
      <c r="D3300" s="8" t="str">
        <f>"9783110466966"</f>
        <v>9783110466966</v>
      </c>
    </row>
    <row r="3301" spans="1:4" ht="30" x14ac:dyDescent="0.25">
      <c r="A3301" s="7" t="s">
        <v>8992</v>
      </c>
      <c r="B3301" s="8" t="s">
        <v>8993</v>
      </c>
      <c r="C3301" s="8" t="s">
        <v>5086</v>
      </c>
      <c r="D3301" s="8" t="str">
        <f>"9783658361617"</f>
        <v>9783658361617</v>
      </c>
    </row>
    <row r="3302" spans="1:4" ht="30" x14ac:dyDescent="0.25">
      <c r="A3302" s="7" t="s">
        <v>11631</v>
      </c>
      <c r="B3302" s="8" t="s">
        <v>11632</v>
      </c>
      <c r="C3302" s="8" t="s">
        <v>355</v>
      </c>
      <c r="D3302" s="8" t="str">
        <f>"9783110719031"</f>
        <v>9783110719031</v>
      </c>
    </row>
    <row r="3303" spans="1:4" x14ac:dyDescent="0.25">
      <c r="A3303" s="7" t="s">
        <v>12073</v>
      </c>
      <c r="B3303" s="8" t="s">
        <v>12074</v>
      </c>
      <c r="C3303" s="8" t="s">
        <v>355</v>
      </c>
      <c r="D3303" s="8" t="str">
        <f>"9783110746396"</f>
        <v>9783110746396</v>
      </c>
    </row>
    <row r="3304" spans="1:4" x14ac:dyDescent="0.25">
      <c r="A3304" s="7" t="s">
        <v>858</v>
      </c>
      <c r="B3304" s="8" t="s">
        <v>859</v>
      </c>
      <c r="C3304" s="8" t="s">
        <v>355</v>
      </c>
      <c r="D3304" s="8" t="str">
        <f>"9783110348736"</f>
        <v>9783110348736</v>
      </c>
    </row>
    <row r="3305" spans="1:4" x14ac:dyDescent="0.25">
      <c r="A3305" s="7" t="s">
        <v>9437</v>
      </c>
      <c r="B3305" s="8" t="s">
        <v>9438</v>
      </c>
      <c r="C3305" s="8" t="s">
        <v>9256</v>
      </c>
      <c r="D3305" s="8" t="str">
        <f>"9788021099104"</f>
        <v>9788021099104</v>
      </c>
    </row>
    <row r="3306" spans="1:4" ht="30" x14ac:dyDescent="0.25">
      <c r="A3306" s="7" t="s">
        <v>15948</v>
      </c>
      <c r="B3306" s="8" t="s">
        <v>15949</v>
      </c>
      <c r="C3306" s="8" t="s">
        <v>1865</v>
      </c>
      <c r="D3306" s="8" t="str">
        <f>"9789175199818"</f>
        <v>9789175199818</v>
      </c>
    </row>
    <row r="3307" spans="1:4" x14ac:dyDescent="0.25">
      <c r="A3307" s="7" t="s">
        <v>1961</v>
      </c>
      <c r="B3307" s="8" t="s">
        <v>1963</v>
      </c>
      <c r="C3307" s="8" t="s">
        <v>1962</v>
      </c>
      <c r="D3307" s="8" t="str">
        <f>"9782759208586"</f>
        <v>9782759208586</v>
      </c>
    </row>
    <row r="3308" spans="1:4" x14ac:dyDescent="0.25">
      <c r="A3308" s="7" t="s">
        <v>14953</v>
      </c>
      <c r="B3308" s="8" t="s">
        <v>14954</v>
      </c>
      <c r="C3308" s="8" t="s">
        <v>1865</v>
      </c>
      <c r="D3308" s="8" t="str">
        <f>"9789175198729"</f>
        <v>9789175198729</v>
      </c>
    </row>
    <row r="3309" spans="1:4" x14ac:dyDescent="0.25">
      <c r="A3309" s="7" t="s">
        <v>6695</v>
      </c>
      <c r="B3309" s="8" t="s">
        <v>6696</v>
      </c>
      <c r="C3309" s="8" t="s">
        <v>2273</v>
      </c>
      <c r="D3309" s="8" t="str">
        <f>"9783030619091"</f>
        <v>9783030619091</v>
      </c>
    </row>
    <row r="3310" spans="1:4" ht="30" x14ac:dyDescent="0.25">
      <c r="A3310" s="7" t="s">
        <v>8008</v>
      </c>
      <c r="B3310" s="8" t="s">
        <v>8009</v>
      </c>
      <c r="C3310" s="8" t="s">
        <v>1962</v>
      </c>
      <c r="D3310" s="8" t="str">
        <f>"9782759212736"</f>
        <v>9782759212736</v>
      </c>
    </row>
    <row r="3311" spans="1:4" x14ac:dyDescent="0.25">
      <c r="A3311" s="7" t="s">
        <v>4321</v>
      </c>
      <c r="B3311" s="8" t="s">
        <v>4322</v>
      </c>
      <c r="C3311" s="8" t="s">
        <v>1345</v>
      </c>
      <c r="D3311" s="8" t="str">
        <f>"9783737606417"</f>
        <v>9783737606417</v>
      </c>
    </row>
    <row r="3312" spans="1:4" x14ac:dyDescent="0.25">
      <c r="A3312" s="7" t="s">
        <v>266</v>
      </c>
      <c r="B3312" s="8" t="s">
        <v>267</v>
      </c>
      <c r="C3312" s="8" t="s">
        <v>227</v>
      </c>
      <c r="D3312" s="8" t="str">
        <f>"9781847790569"</f>
        <v>9781847790569</v>
      </c>
    </row>
    <row r="3313" spans="1:4" x14ac:dyDescent="0.25">
      <c r="A3313" s="7" t="s">
        <v>14290</v>
      </c>
      <c r="B3313" s="8" t="s">
        <v>14291</v>
      </c>
      <c r="C3313" s="8" t="s">
        <v>2273</v>
      </c>
      <c r="D3313" s="8" t="str">
        <f>"9783031198458"</f>
        <v>9783031198458</v>
      </c>
    </row>
    <row r="3314" spans="1:4" x14ac:dyDescent="0.25">
      <c r="A3314" s="7" t="s">
        <v>10352</v>
      </c>
      <c r="B3314" s="8" t="s">
        <v>10353</v>
      </c>
      <c r="C3314" s="8" t="s">
        <v>993</v>
      </c>
      <c r="D3314" s="8" t="str">
        <f>"9783839450048"</f>
        <v>9783839450048</v>
      </c>
    </row>
    <row r="3315" spans="1:4" ht="30" x14ac:dyDescent="0.25">
      <c r="A3315" s="7" t="s">
        <v>7340</v>
      </c>
      <c r="B3315" s="8" t="s">
        <v>7341</v>
      </c>
      <c r="C3315" s="8" t="s">
        <v>5086</v>
      </c>
      <c r="D3315" s="8" t="str">
        <f>"9783658343668"</f>
        <v>9783658343668</v>
      </c>
    </row>
    <row r="3316" spans="1:4" x14ac:dyDescent="0.25">
      <c r="A3316" s="7" t="s">
        <v>7777</v>
      </c>
      <c r="B3316" s="8" t="s">
        <v>109</v>
      </c>
      <c r="C3316" s="8" t="s">
        <v>993</v>
      </c>
      <c r="D3316" s="8" t="str">
        <f>"9783839407684"</f>
        <v>9783839407684</v>
      </c>
    </row>
    <row r="3317" spans="1:4" x14ac:dyDescent="0.25">
      <c r="A3317" s="7" t="s">
        <v>4375</v>
      </c>
      <c r="B3317" s="8" t="s">
        <v>4376</v>
      </c>
      <c r="C3317" s="8" t="s">
        <v>1865</v>
      </c>
      <c r="D3317" s="8" t="str">
        <f>"9789176851012"</f>
        <v>9789176851012</v>
      </c>
    </row>
    <row r="3318" spans="1:4" x14ac:dyDescent="0.25">
      <c r="A3318" s="7" t="s">
        <v>5012</v>
      </c>
      <c r="B3318" s="8" t="s">
        <v>5013</v>
      </c>
      <c r="C3318" s="8" t="s">
        <v>355</v>
      </c>
      <c r="D3318" s="8" t="str">
        <f>"9783110668476"</f>
        <v>9783110668476</v>
      </c>
    </row>
    <row r="3319" spans="1:4" ht="30" x14ac:dyDescent="0.25">
      <c r="A3319" s="7" t="s">
        <v>2721</v>
      </c>
      <c r="B3319" s="8" t="s">
        <v>2722</v>
      </c>
      <c r="C3319" s="8" t="s">
        <v>355</v>
      </c>
      <c r="D3319" s="8" t="str">
        <f>"9783110459272"</f>
        <v>9783110459272</v>
      </c>
    </row>
    <row r="3320" spans="1:4" x14ac:dyDescent="0.25">
      <c r="A3320" s="7" t="s">
        <v>418</v>
      </c>
      <c r="B3320" s="8" t="s">
        <v>419</v>
      </c>
      <c r="C3320" s="8" t="s">
        <v>227</v>
      </c>
      <c r="D3320" s="8" t="str">
        <f>"9781847791023"</f>
        <v>9781847791023</v>
      </c>
    </row>
    <row r="3321" spans="1:4" x14ac:dyDescent="0.25">
      <c r="A3321" s="7" t="s">
        <v>7150</v>
      </c>
      <c r="B3321" s="8" t="s">
        <v>7151</v>
      </c>
      <c r="C3321" s="8" t="s">
        <v>355</v>
      </c>
      <c r="D3321" s="8" t="str">
        <f>"9783110615692"</f>
        <v>9783110615692</v>
      </c>
    </row>
    <row r="3322" spans="1:4" ht="30" x14ac:dyDescent="0.25">
      <c r="A3322" s="7" t="s">
        <v>2709</v>
      </c>
      <c r="B3322" s="8" t="s">
        <v>2710</v>
      </c>
      <c r="C3322" s="8" t="s">
        <v>1345</v>
      </c>
      <c r="D3322" s="8" t="str">
        <f>"9783737600972"</f>
        <v>9783737600972</v>
      </c>
    </row>
    <row r="3323" spans="1:4" x14ac:dyDescent="0.25">
      <c r="A3323" s="7" t="s">
        <v>2223</v>
      </c>
      <c r="B3323" s="8" t="s">
        <v>2224</v>
      </c>
      <c r="C3323" s="8" t="s">
        <v>316</v>
      </c>
      <c r="D3323" s="8" t="str">
        <f>"9783110350999"</f>
        <v>9783110350999</v>
      </c>
    </row>
    <row r="3324" spans="1:4" ht="30" x14ac:dyDescent="0.25">
      <c r="A3324" s="7" t="s">
        <v>11840</v>
      </c>
      <c r="B3324" s="8" t="s">
        <v>11841</v>
      </c>
      <c r="C3324" s="8" t="s">
        <v>355</v>
      </c>
      <c r="D3324" s="8" t="str">
        <f>"9783111485133"</f>
        <v>9783111485133</v>
      </c>
    </row>
    <row r="3325" spans="1:4" ht="30" x14ac:dyDescent="0.25">
      <c r="A3325" s="7" t="s">
        <v>12143</v>
      </c>
      <c r="B3325" s="8" t="s">
        <v>12144</v>
      </c>
      <c r="C3325" s="8" t="s">
        <v>355</v>
      </c>
      <c r="D3325" s="8" t="str">
        <f>"9783110707847"</f>
        <v>9783110707847</v>
      </c>
    </row>
    <row r="3326" spans="1:4" x14ac:dyDescent="0.25">
      <c r="A3326" s="7" t="s">
        <v>11826</v>
      </c>
      <c r="B3326" s="8" t="s">
        <v>11827</v>
      </c>
      <c r="C3326" s="8" t="s">
        <v>355</v>
      </c>
      <c r="D3326" s="8" t="str">
        <f>"9783486770575"</f>
        <v>9783486770575</v>
      </c>
    </row>
    <row r="3327" spans="1:4" x14ac:dyDescent="0.25">
      <c r="A3327" s="7" t="s">
        <v>11679</v>
      </c>
      <c r="B3327" s="8" t="s">
        <v>11680</v>
      </c>
      <c r="C3327" s="8" t="s">
        <v>355</v>
      </c>
      <c r="D3327" s="8" t="str">
        <f>"9783110520620"</f>
        <v>9783110520620</v>
      </c>
    </row>
    <row r="3328" spans="1:4" ht="60" x14ac:dyDescent="0.25">
      <c r="A3328" s="7" t="s">
        <v>13240</v>
      </c>
      <c r="B3328" s="8" t="s">
        <v>187</v>
      </c>
      <c r="C3328" s="8" t="s">
        <v>12712</v>
      </c>
      <c r="D3328" s="8" t="str">
        <f>"9783428573967"</f>
        <v>9783428573967</v>
      </c>
    </row>
    <row r="3329" spans="1:4" ht="30" x14ac:dyDescent="0.25">
      <c r="A3329" s="7" t="s">
        <v>12285</v>
      </c>
      <c r="B3329" s="8" t="s">
        <v>12286</v>
      </c>
      <c r="C3329" s="8" t="s">
        <v>993</v>
      </c>
      <c r="D3329" s="8" t="str">
        <f>"9783839458860"</f>
        <v>9783839458860</v>
      </c>
    </row>
    <row r="3330" spans="1:4" ht="45" x14ac:dyDescent="0.25">
      <c r="A3330" s="7" t="s">
        <v>13063</v>
      </c>
      <c r="B3330" s="8" t="s">
        <v>13064</v>
      </c>
      <c r="C3330" s="8" t="s">
        <v>12712</v>
      </c>
      <c r="D3330" s="8" t="str">
        <f>"9783428561650"</f>
        <v>9783428561650</v>
      </c>
    </row>
    <row r="3331" spans="1:4" x14ac:dyDescent="0.25">
      <c r="A3331" s="7" t="s">
        <v>777</v>
      </c>
      <c r="B3331" s="8" t="s">
        <v>778</v>
      </c>
      <c r="C3331" s="8" t="s">
        <v>355</v>
      </c>
      <c r="D3331" s="8" t="str">
        <f>"9783486858662"</f>
        <v>9783486858662</v>
      </c>
    </row>
    <row r="3332" spans="1:4" ht="30" x14ac:dyDescent="0.25">
      <c r="A3332" s="7" t="s">
        <v>9694</v>
      </c>
      <c r="B3332" s="8" t="s">
        <v>9695</v>
      </c>
      <c r="C3332" s="8" t="s">
        <v>993</v>
      </c>
      <c r="D3332" s="8" t="str">
        <f>"9783839401798"</f>
        <v>9783839401798</v>
      </c>
    </row>
    <row r="3333" spans="1:4" ht="30" x14ac:dyDescent="0.25">
      <c r="A3333" s="7" t="s">
        <v>9876</v>
      </c>
      <c r="B3333" s="8" t="s">
        <v>9877</v>
      </c>
      <c r="C3333" s="8" t="s">
        <v>993</v>
      </c>
      <c r="D3333" s="8" t="str">
        <f>"9783839407134"</f>
        <v>9783839407134</v>
      </c>
    </row>
    <row r="3334" spans="1:4" ht="30" x14ac:dyDescent="0.25">
      <c r="A3334" s="7" t="s">
        <v>8525</v>
      </c>
      <c r="B3334" s="8" t="s">
        <v>8526</v>
      </c>
      <c r="C3334" s="8" t="s">
        <v>993</v>
      </c>
      <c r="D3334" s="8" t="str">
        <f>"9783839452813"</f>
        <v>9783839452813</v>
      </c>
    </row>
    <row r="3335" spans="1:4" x14ac:dyDescent="0.25">
      <c r="A3335" s="7" t="s">
        <v>11488</v>
      </c>
      <c r="B3335" s="8" t="s">
        <v>11489</v>
      </c>
      <c r="C3335" s="8" t="s">
        <v>355</v>
      </c>
      <c r="D3335" s="8" t="str">
        <f>"9783111645551"</f>
        <v>9783111645551</v>
      </c>
    </row>
    <row r="3336" spans="1:4" x14ac:dyDescent="0.25">
      <c r="A3336" s="7" t="s">
        <v>1447</v>
      </c>
      <c r="B3336" s="8" t="s">
        <v>1448</v>
      </c>
      <c r="C3336" s="8" t="s">
        <v>1345</v>
      </c>
      <c r="D3336" s="8" t="str">
        <f>"9783899587890"</f>
        <v>9783899587890</v>
      </c>
    </row>
    <row r="3337" spans="1:4" ht="45" x14ac:dyDescent="0.25">
      <c r="A3337" s="7" t="s">
        <v>1155</v>
      </c>
      <c r="B3337" s="8" t="s">
        <v>1156</v>
      </c>
      <c r="C3337" s="8" t="s">
        <v>316</v>
      </c>
      <c r="D3337" s="8" t="str">
        <f>"9783110875171"</f>
        <v>9783110875171</v>
      </c>
    </row>
    <row r="3338" spans="1:4" x14ac:dyDescent="0.25">
      <c r="A3338" s="7" t="s">
        <v>3446</v>
      </c>
      <c r="B3338" s="8" t="s">
        <v>3447</v>
      </c>
      <c r="C3338" s="8" t="s">
        <v>1345</v>
      </c>
      <c r="D3338" s="8" t="str">
        <f>"9783737604093"</f>
        <v>9783737604093</v>
      </c>
    </row>
    <row r="3339" spans="1:4" x14ac:dyDescent="0.25">
      <c r="A3339" s="7" t="s">
        <v>9971</v>
      </c>
      <c r="B3339" s="8" t="s">
        <v>9972</v>
      </c>
      <c r="C3339" s="8" t="s">
        <v>993</v>
      </c>
      <c r="D3339" s="8" t="str">
        <f>"9783839409183"</f>
        <v>9783839409183</v>
      </c>
    </row>
    <row r="3340" spans="1:4" ht="30" x14ac:dyDescent="0.25">
      <c r="A3340" s="7" t="s">
        <v>7959</v>
      </c>
      <c r="B3340" s="8" t="s">
        <v>7960</v>
      </c>
      <c r="C3340" s="8" t="s">
        <v>1962</v>
      </c>
      <c r="D3340" s="8" t="str">
        <f>"9782759207145"</f>
        <v>9782759207145</v>
      </c>
    </row>
    <row r="3341" spans="1:4" x14ac:dyDescent="0.25">
      <c r="A3341" s="7" t="s">
        <v>2563</v>
      </c>
      <c r="B3341" s="8" t="s">
        <v>2564</v>
      </c>
      <c r="C3341" s="8" t="s">
        <v>562</v>
      </c>
      <c r="D3341" s="8" t="str">
        <f>"9780822374848"</f>
        <v>9780822374848</v>
      </c>
    </row>
    <row r="3342" spans="1:4" x14ac:dyDescent="0.25">
      <c r="A3342" s="7" t="s">
        <v>11689</v>
      </c>
      <c r="B3342" s="8" t="s">
        <v>11690</v>
      </c>
      <c r="C3342" s="8" t="s">
        <v>355</v>
      </c>
      <c r="D3342" s="8" t="str">
        <f>"9783035623802"</f>
        <v>9783035623802</v>
      </c>
    </row>
    <row r="3343" spans="1:4" ht="30" x14ac:dyDescent="0.25">
      <c r="A3343" s="7" t="s">
        <v>10876</v>
      </c>
      <c r="B3343" s="8" t="s">
        <v>10877</v>
      </c>
      <c r="C3343" s="8" t="s">
        <v>5086</v>
      </c>
      <c r="D3343" s="8" t="str">
        <f>"9783658343064"</f>
        <v>9783658343064</v>
      </c>
    </row>
    <row r="3344" spans="1:4" ht="30" x14ac:dyDescent="0.25">
      <c r="A3344" s="7" t="s">
        <v>5875</v>
      </c>
      <c r="B3344" s="8" t="s">
        <v>5876</v>
      </c>
      <c r="C3344" s="8" t="s">
        <v>5086</v>
      </c>
      <c r="D3344" s="8" t="str">
        <f>"9783658133474"</f>
        <v>9783658133474</v>
      </c>
    </row>
    <row r="3345" spans="1:4" ht="30" x14ac:dyDescent="0.25">
      <c r="A3345" s="7" t="s">
        <v>10110</v>
      </c>
      <c r="B3345" s="8" t="s">
        <v>10111</v>
      </c>
      <c r="C3345" s="8" t="s">
        <v>993</v>
      </c>
      <c r="D3345" s="8" t="str">
        <f>"9783839435137"</f>
        <v>9783839435137</v>
      </c>
    </row>
    <row r="3346" spans="1:4" x14ac:dyDescent="0.25">
      <c r="A3346" s="7" t="s">
        <v>10118</v>
      </c>
      <c r="B3346" s="8" t="s">
        <v>10119</v>
      </c>
      <c r="C3346" s="8" t="s">
        <v>993</v>
      </c>
      <c r="D3346" s="8" t="str">
        <f>"9783839435595"</f>
        <v>9783839435595</v>
      </c>
    </row>
    <row r="3347" spans="1:4" x14ac:dyDescent="0.25">
      <c r="A3347" s="7" t="s">
        <v>11875</v>
      </c>
      <c r="B3347" s="8" t="s">
        <v>11876</v>
      </c>
      <c r="C3347" s="8" t="s">
        <v>355</v>
      </c>
      <c r="D3347" s="8" t="str">
        <f>"9783110747003"</f>
        <v>9783110747003</v>
      </c>
    </row>
    <row r="3348" spans="1:4" ht="30" x14ac:dyDescent="0.25">
      <c r="A3348" s="7" t="s">
        <v>10294</v>
      </c>
      <c r="B3348" s="8" t="s">
        <v>10295</v>
      </c>
      <c r="C3348" s="8" t="s">
        <v>993</v>
      </c>
      <c r="D3348" s="8" t="str">
        <f>"9783839448007"</f>
        <v>9783839448007</v>
      </c>
    </row>
    <row r="3349" spans="1:4" ht="30" x14ac:dyDescent="0.25">
      <c r="A3349" s="7" t="s">
        <v>1844</v>
      </c>
      <c r="B3349" s="8" t="s">
        <v>1845</v>
      </c>
      <c r="C3349" s="8" t="s">
        <v>1345</v>
      </c>
      <c r="D3349" s="8" t="str">
        <f>"9783862196432"</f>
        <v>9783862196432</v>
      </c>
    </row>
    <row r="3350" spans="1:4" ht="30" x14ac:dyDescent="0.25">
      <c r="A3350" s="7" t="s">
        <v>10168</v>
      </c>
      <c r="B3350" s="8" t="s">
        <v>44</v>
      </c>
      <c r="C3350" s="8" t="s">
        <v>993</v>
      </c>
      <c r="D3350" s="8" t="str">
        <f>"9783839442197"</f>
        <v>9783839442197</v>
      </c>
    </row>
    <row r="3351" spans="1:4" x14ac:dyDescent="0.25">
      <c r="A3351" s="7" t="s">
        <v>7513</v>
      </c>
      <c r="B3351" s="8" t="s">
        <v>7514</v>
      </c>
      <c r="C3351" s="8" t="s">
        <v>993</v>
      </c>
      <c r="D3351" s="8" t="str">
        <f>"9783839422861"</f>
        <v>9783839422861</v>
      </c>
    </row>
    <row r="3352" spans="1:4" ht="30" x14ac:dyDescent="0.25">
      <c r="A3352" s="7" t="s">
        <v>7493</v>
      </c>
      <c r="B3352" s="8" t="s">
        <v>7494</v>
      </c>
      <c r="C3352" s="8" t="s">
        <v>993</v>
      </c>
      <c r="D3352" s="8" t="str">
        <f>"9783839439272"</f>
        <v>9783839439272</v>
      </c>
    </row>
    <row r="3353" spans="1:4" ht="30" x14ac:dyDescent="0.25">
      <c r="A3353" s="7" t="s">
        <v>13091</v>
      </c>
      <c r="B3353" s="8" t="s">
        <v>13092</v>
      </c>
      <c r="C3353" s="8" t="s">
        <v>12712</v>
      </c>
      <c r="D3353" s="8" t="str">
        <f>"9783428572649"</f>
        <v>9783428572649</v>
      </c>
    </row>
    <row r="3354" spans="1:4" x14ac:dyDescent="0.25">
      <c r="A3354" s="7" t="s">
        <v>3802</v>
      </c>
      <c r="B3354" s="8" t="s">
        <v>3803</v>
      </c>
      <c r="C3354" s="8" t="s">
        <v>1865</v>
      </c>
      <c r="D3354" s="8" t="str">
        <f>"9789176852637"</f>
        <v>9789176852637</v>
      </c>
    </row>
    <row r="3355" spans="1:4" x14ac:dyDescent="0.25">
      <c r="A3355" s="7" t="s">
        <v>7152</v>
      </c>
      <c r="B3355" s="8" t="s">
        <v>7153</v>
      </c>
      <c r="C3355" s="8" t="s">
        <v>355</v>
      </c>
      <c r="D3355" s="8" t="str">
        <f>"9783035619171"</f>
        <v>9783035619171</v>
      </c>
    </row>
    <row r="3356" spans="1:4" ht="30" x14ac:dyDescent="0.25">
      <c r="A3356" s="7" t="s">
        <v>8357</v>
      </c>
      <c r="B3356" s="8" t="s">
        <v>8358</v>
      </c>
      <c r="C3356" s="8" t="s">
        <v>993</v>
      </c>
      <c r="D3356" s="8" t="str">
        <f>"9783839453261"</f>
        <v>9783839453261</v>
      </c>
    </row>
    <row r="3357" spans="1:4" x14ac:dyDescent="0.25">
      <c r="A3357" s="7" t="s">
        <v>3491</v>
      </c>
      <c r="B3357" s="8" t="s">
        <v>3492</v>
      </c>
      <c r="C3357" s="8" t="s">
        <v>993</v>
      </c>
      <c r="D3357" s="8" t="str">
        <f>"9783839439371"</f>
        <v>9783839439371</v>
      </c>
    </row>
    <row r="3358" spans="1:4" ht="30" x14ac:dyDescent="0.25">
      <c r="A3358" s="7" t="s">
        <v>12403</v>
      </c>
      <c r="B3358" s="8" t="s">
        <v>12404</v>
      </c>
      <c r="C3358" s="8" t="s">
        <v>355</v>
      </c>
      <c r="D3358" s="8" t="str">
        <f>"9783110770193"</f>
        <v>9783110770193</v>
      </c>
    </row>
    <row r="3359" spans="1:4" x14ac:dyDescent="0.25">
      <c r="A3359" s="7" t="s">
        <v>7594</v>
      </c>
      <c r="B3359" s="8" t="s">
        <v>7595</v>
      </c>
      <c r="C3359" s="8" t="s">
        <v>993</v>
      </c>
      <c r="D3359" s="8" t="str">
        <f>"9783839417072"</f>
        <v>9783839417072</v>
      </c>
    </row>
    <row r="3360" spans="1:4" ht="30" x14ac:dyDescent="0.25">
      <c r="A3360" s="7" t="s">
        <v>12120</v>
      </c>
      <c r="B3360" s="8" t="s">
        <v>12121</v>
      </c>
      <c r="C3360" s="8" t="s">
        <v>355</v>
      </c>
      <c r="D3360" s="8" t="str">
        <f>"9783110769029"</f>
        <v>9783110769029</v>
      </c>
    </row>
    <row r="3361" spans="1:4" x14ac:dyDescent="0.25">
      <c r="A3361" s="7" t="s">
        <v>13629</v>
      </c>
      <c r="B3361" s="8" t="s">
        <v>13630</v>
      </c>
      <c r="C3361" s="8" t="s">
        <v>993</v>
      </c>
      <c r="D3361" s="8" t="str">
        <f>"9783839462096"</f>
        <v>9783839462096</v>
      </c>
    </row>
    <row r="3362" spans="1:4" x14ac:dyDescent="0.25">
      <c r="A3362" s="7" t="s">
        <v>5106</v>
      </c>
      <c r="B3362" s="8" t="s">
        <v>5108</v>
      </c>
      <c r="C3362" s="8" t="s">
        <v>5107</v>
      </c>
      <c r="D3362" s="8" t="str">
        <f>"9784431554684"</f>
        <v>9784431554684</v>
      </c>
    </row>
    <row r="3363" spans="1:4" x14ac:dyDescent="0.25">
      <c r="A3363" s="7" t="s">
        <v>5092</v>
      </c>
      <c r="B3363" s="8" t="s">
        <v>5093</v>
      </c>
      <c r="C3363" s="8" t="s">
        <v>2273</v>
      </c>
      <c r="D3363" s="8" t="str">
        <f>"9783030446178"</f>
        <v>9783030446178</v>
      </c>
    </row>
    <row r="3364" spans="1:4" x14ac:dyDescent="0.25">
      <c r="A3364" s="7" t="s">
        <v>850</v>
      </c>
      <c r="B3364" s="8" t="s">
        <v>851</v>
      </c>
      <c r="C3364" s="8" t="s">
        <v>355</v>
      </c>
      <c r="D3364" s="8" t="str">
        <f>"9783110278149"</f>
        <v>9783110278149</v>
      </c>
    </row>
    <row r="3365" spans="1:4" x14ac:dyDescent="0.25">
      <c r="A3365" s="7" t="s">
        <v>10581</v>
      </c>
      <c r="B3365" s="8" t="s">
        <v>10582</v>
      </c>
      <c r="C3365" s="8" t="s">
        <v>993</v>
      </c>
      <c r="D3365" s="8" t="str">
        <f>"9783839460696"</f>
        <v>9783839460696</v>
      </c>
    </row>
    <row r="3366" spans="1:4" x14ac:dyDescent="0.25">
      <c r="A3366" s="7" t="s">
        <v>11118</v>
      </c>
      <c r="B3366" s="8" t="s">
        <v>11119</v>
      </c>
      <c r="C3366" s="8" t="s">
        <v>2082</v>
      </c>
      <c r="D3366" s="8" t="str">
        <f>"9780472901272"</f>
        <v>9780472901272</v>
      </c>
    </row>
    <row r="3367" spans="1:4" x14ac:dyDescent="0.25">
      <c r="A3367" s="7" t="s">
        <v>5063</v>
      </c>
      <c r="B3367" s="8" t="s">
        <v>5065</v>
      </c>
      <c r="C3367" s="8" t="s">
        <v>5064</v>
      </c>
      <c r="D3367" s="8" t="str">
        <f>"9789813272378"</f>
        <v>9789813272378</v>
      </c>
    </row>
    <row r="3368" spans="1:4" x14ac:dyDescent="0.25">
      <c r="A3368" s="7" t="s">
        <v>5368</v>
      </c>
      <c r="B3368" s="8" t="s">
        <v>5369</v>
      </c>
      <c r="C3368" s="8" t="s">
        <v>5358</v>
      </c>
      <c r="D3368" s="8" t="str">
        <f>"9781786390066"</f>
        <v>9781786390066</v>
      </c>
    </row>
    <row r="3369" spans="1:4" ht="30" x14ac:dyDescent="0.25">
      <c r="A3369" s="7" t="s">
        <v>6258</v>
      </c>
      <c r="B3369" s="8" t="s">
        <v>6259</v>
      </c>
      <c r="C3369" s="8" t="s">
        <v>4245</v>
      </c>
      <c r="D3369" s="8" t="str">
        <f>"9789811040535"</f>
        <v>9789811040535</v>
      </c>
    </row>
    <row r="3370" spans="1:4" ht="30" x14ac:dyDescent="0.25">
      <c r="A3370" s="7" t="s">
        <v>6632</v>
      </c>
      <c r="B3370" s="8" t="s">
        <v>6633</v>
      </c>
      <c r="C3370" s="8" t="s">
        <v>4245</v>
      </c>
      <c r="D3370" s="8" t="str">
        <f>"9789811578656"</f>
        <v>9789811578656</v>
      </c>
    </row>
    <row r="3371" spans="1:4" ht="45" x14ac:dyDescent="0.25">
      <c r="A3371" s="7" t="s">
        <v>335</v>
      </c>
      <c r="B3371" s="8" t="s">
        <v>336</v>
      </c>
      <c r="C3371" s="8" t="s">
        <v>316</v>
      </c>
      <c r="D3371" s="8" t="str">
        <f>"9783598441349"</f>
        <v>9783598441349</v>
      </c>
    </row>
    <row r="3372" spans="1:4" x14ac:dyDescent="0.25">
      <c r="A3372" s="7" t="s">
        <v>8054</v>
      </c>
      <c r="B3372" s="8" t="s">
        <v>6731</v>
      </c>
      <c r="C3372" s="8" t="s">
        <v>2273</v>
      </c>
      <c r="D3372" s="8" t="str">
        <f>"9783030788858"</f>
        <v>9783030788858</v>
      </c>
    </row>
    <row r="3373" spans="1:4" x14ac:dyDescent="0.25">
      <c r="A3373" s="7" t="s">
        <v>12471</v>
      </c>
      <c r="B3373" s="8" t="s">
        <v>12472</v>
      </c>
      <c r="C3373" s="8" t="s">
        <v>2273</v>
      </c>
      <c r="D3373" s="8" t="str">
        <f>"9783030996345"</f>
        <v>9783030996345</v>
      </c>
    </row>
    <row r="3374" spans="1:4" ht="30" x14ac:dyDescent="0.25">
      <c r="A3374" s="7" t="s">
        <v>6228</v>
      </c>
      <c r="B3374" s="8" t="s">
        <v>6229</v>
      </c>
      <c r="C3374" s="8" t="s">
        <v>2273</v>
      </c>
      <c r="D3374" s="8" t="str">
        <f>"9783319152783"</f>
        <v>9783319152783</v>
      </c>
    </row>
    <row r="3375" spans="1:4" x14ac:dyDescent="0.25">
      <c r="A3375" s="7" t="s">
        <v>10076</v>
      </c>
      <c r="B3375" s="8" t="s">
        <v>10077</v>
      </c>
      <c r="C3375" s="8" t="s">
        <v>993</v>
      </c>
      <c r="D3375" s="8" t="str">
        <f>"9783839430064"</f>
        <v>9783839430064</v>
      </c>
    </row>
    <row r="3376" spans="1:4" x14ac:dyDescent="0.25">
      <c r="A3376" s="7" t="s">
        <v>7716</v>
      </c>
      <c r="B3376" s="8" t="s">
        <v>7717</v>
      </c>
      <c r="C3376" s="8" t="s">
        <v>993</v>
      </c>
      <c r="D3376" s="8" t="str">
        <f>"9783839431153"</f>
        <v>9783839431153</v>
      </c>
    </row>
    <row r="3377" spans="1:4" x14ac:dyDescent="0.25">
      <c r="A3377" s="7" t="s">
        <v>7784</v>
      </c>
      <c r="B3377" s="8" t="s">
        <v>7785</v>
      </c>
      <c r="C3377" s="8" t="s">
        <v>2273</v>
      </c>
      <c r="D3377" s="8" t="str">
        <f>"9783030730659"</f>
        <v>9783030730659</v>
      </c>
    </row>
    <row r="3378" spans="1:4" x14ac:dyDescent="0.25">
      <c r="A3378" s="7" t="s">
        <v>16127</v>
      </c>
      <c r="B3378" s="8" t="s">
        <v>4408</v>
      </c>
      <c r="C3378" s="8" t="s">
        <v>1865</v>
      </c>
      <c r="D3378" s="8" t="str">
        <f>"9789175192796"</f>
        <v>9789175192796</v>
      </c>
    </row>
    <row r="3379" spans="1:4" ht="30" x14ac:dyDescent="0.25">
      <c r="A3379" s="7" t="s">
        <v>6329</v>
      </c>
      <c r="B3379" s="8" t="s">
        <v>6330</v>
      </c>
      <c r="C3379" s="8" t="s">
        <v>1879</v>
      </c>
      <c r="D3379" s="8" t="str">
        <f>"9781800641259"</f>
        <v>9781800641259</v>
      </c>
    </row>
    <row r="3380" spans="1:4" ht="30" x14ac:dyDescent="0.25">
      <c r="A3380" s="7" t="s">
        <v>12035</v>
      </c>
      <c r="B3380" s="8" t="s">
        <v>12036</v>
      </c>
      <c r="C3380" s="8" t="s">
        <v>355</v>
      </c>
      <c r="D3380" s="8" t="str">
        <f>"9783110779837"</f>
        <v>9783110779837</v>
      </c>
    </row>
    <row r="3381" spans="1:4" x14ac:dyDescent="0.25">
      <c r="A3381" s="7" t="s">
        <v>262</v>
      </c>
      <c r="B3381" s="8" t="s">
        <v>263</v>
      </c>
      <c r="C3381" s="8" t="s">
        <v>227</v>
      </c>
      <c r="D3381" s="8" t="str">
        <f>"9781847790156"</f>
        <v>9781847790156</v>
      </c>
    </row>
    <row r="3382" spans="1:4" x14ac:dyDescent="0.25">
      <c r="A3382" s="7" t="s">
        <v>7434</v>
      </c>
      <c r="B3382" s="8" t="s">
        <v>7435</v>
      </c>
      <c r="C3382" s="8" t="s">
        <v>993</v>
      </c>
      <c r="D3382" s="8" t="str">
        <f>"9783839437858"</f>
        <v>9783839437858</v>
      </c>
    </row>
    <row r="3383" spans="1:4" ht="30" x14ac:dyDescent="0.25">
      <c r="A3383" s="7" t="s">
        <v>972</v>
      </c>
      <c r="B3383" s="8" t="s">
        <v>973</v>
      </c>
      <c r="C3383" s="8" t="s">
        <v>697</v>
      </c>
      <c r="D3383" s="8" t="str">
        <f>"9789004282087"</f>
        <v>9789004282087</v>
      </c>
    </row>
    <row r="3384" spans="1:4" x14ac:dyDescent="0.25">
      <c r="A3384" s="7" t="s">
        <v>12242</v>
      </c>
      <c r="B3384" s="8" t="s">
        <v>7418</v>
      </c>
      <c r="C3384" s="8" t="s">
        <v>2273</v>
      </c>
      <c r="D3384" s="8" t="str">
        <f>"9783031021084"</f>
        <v>9783031021084</v>
      </c>
    </row>
    <row r="3385" spans="1:4" ht="30" x14ac:dyDescent="0.25">
      <c r="A3385" s="7" t="s">
        <v>8202</v>
      </c>
      <c r="B3385" s="8" t="s">
        <v>8203</v>
      </c>
      <c r="C3385" s="8" t="s">
        <v>993</v>
      </c>
      <c r="D3385" s="8" t="str">
        <f>"9783839452479"</f>
        <v>9783839452479</v>
      </c>
    </row>
    <row r="3386" spans="1:4" x14ac:dyDescent="0.25">
      <c r="A3386" s="7" t="s">
        <v>2163</v>
      </c>
      <c r="B3386" s="8" t="s">
        <v>2164</v>
      </c>
      <c r="C3386" s="8" t="s">
        <v>1053</v>
      </c>
      <c r="D3386" s="8" t="str">
        <f>"9780874218114"</f>
        <v>9780874218114</v>
      </c>
    </row>
    <row r="3387" spans="1:4" x14ac:dyDescent="0.25">
      <c r="A3387" s="7" t="s">
        <v>16149</v>
      </c>
      <c r="B3387" s="8" t="s">
        <v>16150</v>
      </c>
      <c r="C3387" s="8" t="s">
        <v>1865</v>
      </c>
      <c r="D3387" s="8" t="str">
        <f>"9789175194332"</f>
        <v>9789175194332</v>
      </c>
    </row>
    <row r="3388" spans="1:4" x14ac:dyDescent="0.25">
      <c r="A3388" s="7" t="s">
        <v>4401</v>
      </c>
      <c r="B3388" s="8" t="s">
        <v>4402</v>
      </c>
      <c r="C3388" s="8" t="s">
        <v>1865</v>
      </c>
      <c r="D3388" s="8" t="str">
        <f>"9789176851234"</f>
        <v>9789176851234</v>
      </c>
    </row>
    <row r="3389" spans="1:4" x14ac:dyDescent="0.25">
      <c r="A3389" s="7" t="s">
        <v>3517</v>
      </c>
      <c r="B3389" s="8" t="s">
        <v>3518</v>
      </c>
      <c r="C3389" s="8" t="s">
        <v>1879</v>
      </c>
      <c r="D3389" s="8" t="str">
        <f>"9781783740543"</f>
        <v>9781783740543</v>
      </c>
    </row>
    <row r="3390" spans="1:4" x14ac:dyDescent="0.25">
      <c r="A3390" s="7" t="s">
        <v>11932</v>
      </c>
      <c r="B3390" s="8" t="s">
        <v>11933</v>
      </c>
      <c r="C3390" s="8" t="s">
        <v>355</v>
      </c>
      <c r="D3390" s="8" t="str">
        <f>"9783486777390"</f>
        <v>9783486777390</v>
      </c>
    </row>
    <row r="3391" spans="1:4" x14ac:dyDescent="0.25">
      <c r="A3391" s="7" t="s">
        <v>7086</v>
      </c>
      <c r="B3391" s="8" t="s">
        <v>7087</v>
      </c>
      <c r="C3391" s="8" t="s">
        <v>355</v>
      </c>
      <c r="D3391" s="8" t="str">
        <f>"9783110661576"</f>
        <v>9783110661576</v>
      </c>
    </row>
    <row r="3392" spans="1:4" x14ac:dyDescent="0.25">
      <c r="A3392" s="7" t="s">
        <v>10916</v>
      </c>
      <c r="B3392" s="8" t="s">
        <v>2671</v>
      </c>
      <c r="C3392" s="8" t="s">
        <v>355</v>
      </c>
      <c r="D3392" s="8" t="str">
        <f>"9783110492507"</f>
        <v>9783110492507</v>
      </c>
    </row>
    <row r="3393" spans="1:4" x14ac:dyDescent="0.25">
      <c r="A3393" s="7" t="s">
        <v>9034</v>
      </c>
      <c r="B3393" s="8" t="s">
        <v>9035</v>
      </c>
      <c r="C3393" s="8" t="s">
        <v>2273</v>
      </c>
      <c r="D3393" s="8" t="str">
        <f>"9783319918433"</f>
        <v>9783319918433</v>
      </c>
    </row>
    <row r="3394" spans="1:4" x14ac:dyDescent="0.25">
      <c r="A3394" s="7" t="s">
        <v>6660</v>
      </c>
      <c r="B3394" s="8" t="s">
        <v>6661</v>
      </c>
      <c r="C3394" s="8" t="s">
        <v>1224</v>
      </c>
      <c r="D3394" s="8" t="str">
        <f>"9781618116840"</f>
        <v>9781618116840</v>
      </c>
    </row>
    <row r="3395" spans="1:4" x14ac:dyDescent="0.25">
      <c r="A3395" s="7" t="s">
        <v>7858</v>
      </c>
      <c r="B3395" s="8" t="s">
        <v>7859</v>
      </c>
      <c r="C3395" s="8" t="s">
        <v>2273</v>
      </c>
      <c r="D3395" s="8" t="str">
        <f>"9783030757465"</f>
        <v>9783030757465</v>
      </c>
    </row>
    <row r="3396" spans="1:4" ht="30" x14ac:dyDescent="0.25">
      <c r="A3396" s="7" t="s">
        <v>14909</v>
      </c>
      <c r="B3396" s="8" t="s">
        <v>14910</v>
      </c>
      <c r="C3396" s="8" t="s">
        <v>1865</v>
      </c>
      <c r="D3396" s="8" t="str">
        <f>"9789175193182"</f>
        <v>9789175193182</v>
      </c>
    </row>
    <row r="3397" spans="1:4" x14ac:dyDescent="0.25">
      <c r="A3397" s="7" t="s">
        <v>8512</v>
      </c>
      <c r="B3397" s="8" t="s">
        <v>8513</v>
      </c>
      <c r="C3397" s="8" t="s">
        <v>993</v>
      </c>
      <c r="D3397" s="8" t="str">
        <f>"9783839449172"</f>
        <v>9783839449172</v>
      </c>
    </row>
    <row r="3398" spans="1:4" ht="30" x14ac:dyDescent="0.25">
      <c r="A3398" s="7" t="s">
        <v>1509</v>
      </c>
      <c r="B3398" s="8" t="s">
        <v>1510</v>
      </c>
      <c r="C3398" s="8" t="s">
        <v>1345</v>
      </c>
      <c r="D3398" s="8" t="str">
        <f>"9783862194315"</f>
        <v>9783862194315</v>
      </c>
    </row>
    <row r="3399" spans="1:4" ht="30" x14ac:dyDescent="0.25">
      <c r="A3399" s="7" t="s">
        <v>1770</v>
      </c>
      <c r="B3399" s="8" t="s">
        <v>1771</v>
      </c>
      <c r="C3399" s="8" t="s">
        <v>1345</v>
      </c>
      <c r="D3399" s="8" t="str">
        <f>"9783862196876"</f>
        <v>9783862196876</v>
      </c>
    </row>
    <row r="3400" spans="1:4" x14ac:dyDescent="0.25">
      <c r="A3400" s="7" t="s">
        <v>10518</v>
      </c>
      <c r="B3400" s="8" t="s">
        <v>10519</v>
      </c>
      <c r="C3400" s="8" t="s">
        <v>993</v>
      </c>
      <c r="D3400" s="8" t="str">
        <f>"9783839458693"</f>
        <v>9783839458693</v>
      </c>
    </row>
    <row r="3401" spans="1:4" ht="30" x14ac:dyDescent="0.25">
      <c r="A3401" s="7" t="s">
        <v>488</v>
      </c>
      <c r="B3401" s="8" t="s">
        <v>489</v>
      </c>
      <c r="C3401" s="8" t="s">
        <v>316</v>
      </c>
      <c r="D3401" s="8" t="str">
        <f>"9783110294750"</f>
        <v>9783110294750</v>
      </c>
    </row>
    <row r="3402" spans="1:4" ht="30" x14ac:dyDescent="0.25">
      <c r="A3402" s="7" t="s">
        <v>733</v>
      </c>
      <c r="B3402" s="8" t="s">
        <v>9</v>
      </c>
      <c r="C3402" s="8" t="s">
        <v>316</v>
      </c>
      <c r="D3402" s="8" t="str">
        <f>"9783110334395"</f>
        <v>9783110334395</v>
      </c>
    </row>
    <row r="3403" spans="1:4" ht="30" x14ac:dyDescent="0.25">
      <c r="A3403" s="7" t="s">
        <v>9994</v>
      </c>
      <c r="B3403" s="8" t="s">
        <v>9995</v>
      </c>
      <c r="C3403" s="8" t="s">
        <v>993</v>
      </c>
      <c r="D3403" s="8" t="str">
        <f>"9783839409572"</f>
        <v>9783839409572</v>
      </c>
    </row>
    <row r="3404" spans="1:4" x14ac:dyDescent="0.25">
      <c r="A3404" s="7" t="s">
        <v>9839</v>
      </c>
      <c r="B3404" s="8" t="s">
        <v>155</v>
      </c>
      <c r="C3404" s="8" t="s">
        <v>993</v>
      </c>
      <c r="D3404" s="8" t="str">
        <f>"9783839406311"</f>
        <v>9783839406311</v>
      </c>
    </row>
    <row r="3405" spans="1:4" x14ac:dyDescent="0.25">
      <c r="A3405" s="7" t="s">
        <v>8621</v>
      </c>
      <c r="B3405" s="8" t="s">
        <v>8622</v>
      </c>
      <c r="C3405" s="8" t="s">
        <v>1962</v>
      </c>
      <c r="D3405" s="8" t="str">
        <f>"9782759234394"</f>
        <v>9782759234394</v>
      </c>
    </row>
    <row r="3406" spans="1:4" ht="30" x14ac:dyDescent="0.25">
      <c r="A3406" s="7" t="s">
        <v>16033</v>
      </c>
      <c r="B3406" s="8" t="s">
        <v>16034</v>
      </c>
      <c r="C3406" s="8" t="s">
        <v>1865</v>
      </c>
      <c r="D3406" s="8" t="str">
        <f>"9789176858943"</f>
        <v>9789176858943</v>
      </c>
    </row>
    <row r="3407" spans="1:4" ht="30" x14ac:dyDescent="0.25">
      <c r="A3407" s="7" t="s">
        <v>8804</v>
      </c>
      <c r="B3407" s="8" t="s">
        <v>8806</v>
      </c>
      <c r="C3407" s="8" t="s">
        <v>8805</v>
      </c>
      <c r="D3407" s="8" t="str">
        <f>"9781934831182"</f>
        <v>9781934831182</v>
      </c>
    </row>
    <row r="3408" spans="1:4" x14ac:dyDescent="0.25">
      <c r="A3408" s="7" t="s">
        <v>7534</v>
      </c>
      <c r="B3408" s="8" t="s">
        <v>7535</v>
      </c>
      <c r="C3408" s="8" t="s">
        <v>993</v>
      </c>
      <c r="D3408" s="8" t="str">
        <f>"9783839409961"</f>
        <v>9783839409961</v>
      </c>
    </row>
    <row r="3409" spans="1:4" x14ac:dyDescent="0.25">
      <c r="A3409" s="7" t="s">
        <v>6285</v>
      </c>
      <c r="B3409" s="8" t="s">
        <v>6286</v>
      </c>
      <c r="C3409" s="8" t="s">
        <v>2273</v>
      </c>
      <c r="D3409" s="8" t="str">
        <f>"9783319296715"</f>
        <v>9783319296715</v>
      </c>
    </row>
    <row r="3410" spans="1:4" x14ac:dyDescent="0.25">
      <c r="A3410" s="7" t="s">
        <v>3929</v>
      </c>
      <c r="B3410" s="8" t="s">
        <v>3930</v>
      </c>
      <c r="C3410" s="8" t="s">
        <v>355</v>
      </c>
      <c r="D3410" s="8" t="str">
        <f>"9783110569315"</f>
        <v>9783110569315</v>
      </c>
    </row>
    <row r="3411" spans="1:4" x14ac:dyDescent="0.25">
      <c r="A3411" s="7" t="s">
        <v>14574</v>
      </c>
      <c r="B3411" s="8" t="s">
        <v>14575</v>
      </c>
      <c r="C3411" s="8" t="s">
        <v>1865</v>
      </c>
      <c r="D3411" s="8" t="str">
        <f>"9789179290887"</f>
        <v>9789179290887</v>
      </c>
    </row>
    <row r="3412" spans="1:4" x14ac:dyDescent="0.25">
      <c r="A3412" s="7" t="s">
        <v>570</v>
      </c>
      <c r="B3412" s="8" t="s">
        <v>571</v>
      </c>
      <c r="C3412" s="8" t="s">
        <v>562</v>
      </c>
      <c r="D3412" s="8" t="str">
        <f>"9780822389132"</f>
        <v>9780822389132</v>
      </c>
    </row>
    <row r="3413" spans="1:4" x14ac:dyDescent="0.25">
      <c r="A3413" s="7" t="s">
        <v>4940</v>
      </c>
      <c r="B3413" s="8" t="s">
        <v>4941</v>
      </c>
      <c r="C3413" s="8" t="s">
        <v>1865</v>
      </c>
      <c r="D3413" s="8" t="str">
        <f>"9789179298456"</f>
        <v>9789179298456</v>
      </c>
    </row>
    <row r="3414" spans="1:4" x14ac:dyDescent="0.25">
      <c r="A3414" s="7" t="s">
        <v>6880</v>
      </c>
      <c r="B3414" s="8" t="s">
        <v>5533</v>
      </c>
      <c r="C3414" s="8" t="s">
        <v>2273</v>
      </c>
      <c r="D3414" s="8" t="str">
        <f>"9783030726805"</f>
        <v>9783030726805</v>
      </c>
    </row>
    <row r="3415" spans="1:4" x14ac:dyDescent="0.25">
      <c r="A3415" s="7" t="s">
        <v>12247</v>
      </c>
      <c r="B3415" s="8" t="s">
        <v>12248</v>
      </c>
      <c r="C3415" s="8" t="s">
        <v>2273</v>
      </c>
      <c r="D3415" s="8" t="str">
        <f>"9783031039386"</f>
        <v>9783031039386</v>
      </c>
    </row>
    <row r="3416" spans="1:4" x14ac:dyDescent="0.25">
      <c r="A3416" s="7" t="s">
        <v>9678</v>
      </c>
      <c r="B3416" s="8" t="s">
        <v>8457</v>
      </c>
      <c r="C3416" s="8" t="s">
        <v>993</v>
      </c>
      <c r="D3416" s="8" t="str">
        <f>"9783839401002"</f>
        <v>9783839401002</v>
      </c>
    </row>
    <row r="3417" spans="1:4" x14ac:dyDescent="0.25">
      <c r="A3417" s="7" t="s">
        <v>4129</v>
      </c>
      <c r="B3417" s="8" t="s">
        <v>4130</v>
      </c>
      <c r="C3417" s="8" t="s">
        <v>355</v>
      </c>
      <c r="D3417" s="8" t="str">
        <f>"9783110574289"</f>
        <v>9783110574289</v>
      </c>
    </row>
    <row r="3418" spans="1:4" x14ac:dyDescent="0.25">
      <c r="A3418" s="7" t="s">
        <v>6763</v>
      </c>
      <c r="B3418" s="8" t="s">
        <v>6764</v>
      </c>
      <c r="C3418" s="8" t="s">
        <v>1036</v>
      </c>
      <c r="D3418" s="8" t="str">
        <f>"9789027260246"</f>
        <v>9789027260246</v>
      </c>
    </row>
    <row r="3419" spans="1:4" ht="30" x14ac:dyDescent="0.25">
      <c r="A3419" s="7" t="s">
        <v>1748</v>
      </c>
      <c r="B3419" s="8" t="s">
        <v>1749</v>
      </c>
      <c r="C3419" s="8" t="s">
        <v>1345</v>
      </c>
      <c r="D3419" s="8" t="str">
        <f>"9783862197354"</f>
        <v>9783862197354</v>
      </c>
    </row>
    <row r="3420" spans="1:4" ht="30" x14ac:dyDescent="0.25">
      <c r="A3420" s="7" t="s">
        <v>3241</v>
      </c>
      <c r="B3420" s="8" t="s">
        <v>3242</v>
      </c>
      <c r="C3420" s="8" t="s">
        <v>1865</v>
      </c>
      <c r="D3420" s="8" t="str">
        <f>"9789176854624"</f>
        <v>9789176854624</v>
      </c>
    </row>
    <row r="3421" spans="1:4" ht="30" x14ac:dyDescent="0.25">
      <c r="A3421" s="7" t="s">
        <v>7814</v>
      </c>
      <c r="B3421" s="8" t="s">
        <v>7815</v>
      </c>
      <c r="C3421" s="8" t="s">
        <v>1865</v>
      </c>
      <c r="D3421" s="8" t="str">
        <f>"9789179290115"</f>
        <v>9789179290115</v>
      </c>
    </row>
    <row r="3422" spans="1:4" ht="30" x14ac:dyDescent="0.25">
      <c r="A3422" s="7" t="s">
        <v>6591</v>
      </c>
      <c r="B3422" s="8" t="s">
        <v>6592</v>
      </c>
      <c r="C3422" s="8" t="s">
        <v>2273</v>
      </c>
      <c r="D3422" s="8" t="str">
        <f>"9783030723088"</f>
        <v>9783030723088</v>
      </c>
    </row>
    <row r="3423" spans="1:4" x14ac:dyDescent="0.25">
      <c r="A3423" s="7" t="s">
        <v>15353</v>
      </c>
      <c r="B3423" s="8" t="s">
        <v>15354</v>
      </c>
      <c r="C3423" s="8" t="s">
        <v>1865</v>
      </c>
      <c r="D3423" s="8" t="str">
        <f>"9789175198699"</f>
        <v>9789175198699</v>
      </c>
    </row>
    <row r="3424" spans="1:4" x14ac:dyDescent="0.25">
      <c r="A3424" s="7" t="s">
        <v>14928</v>
      </c>
      <c r="B3424" s="8" t="s">
        <v>14929</v>
      </c>
      <c r="C3424" s="8" t="s">
        <v>1865</v>
      </c>
      <c r="D3424" s="8" t="str">
        <f>"9789176850404"</f>
        <v>9789176850404</v>
      </c>
    </row>
    <row r="3425" spans="1:4" x14ac:dyDescent="0.25">
      <c r="A3425" s="7" t="s">
        <v>7942</v>
      </c>
      <c r="B3425" s="8" t="s">
        <v>7943</v>
      </c>
      <c r="C3425" s="8" t="s">
        <v>1962</v>
      </c>
      <c r="D3425" s="8" t="str">
        <f>"9782759231461"</f>
        <v>9782759231461</v>
      </c>
    </row>
    <row r="3426" spans="1:4" x14ac:dyDescent="0.25">
      <c r="A3426" s="7" t="s">
        <v>7955</v>
      </c>
      <c r="B3426" s="8" t="s">
        <v>2965</v>
      </c>
      <c r="C3426" s="8" t="s">
        <v>1962</v>
      </c>
      <c r="D3426" s="8" t="str">
        <f>"9782759221585"</f>
        <v>9782759221585</v>
      </c>
    </row>
    <row r="3427" spans="1:4" x14ac:dyDescent="0.25">
      <c r="A3427" s="7" t="s">
        <v>5766</v>
      </c>
      <c r="B3427" s="8" t="s">
        <v>5767</v>
      </c>
      <c r="C3427" s="8" t="s">
        <v>2273</v>
      </c>
      <c r="D3427" s="8" t="str">
        <f>"9783319595078"</f>
        <v>9783319595078</v>
      </c>
    </row>
    <row r="3428" spans="1:4" x14ac:dyDescent="0.25">
      <c r="A3428" s="7" t="s">
        <v>7742</v>
      </c>
      <c r="B3428" s="8" t="s">
        <v>7743</v>
      </c>
      <c r="C3428" s="8" t="s">
        <v>993</v>
      </c>
      <c r="D3428" s="8" t="str">
        <f>"9783839432518"</f>
        <v>9783839432518</v>
      </c>
    </row>
    <row r="3429" spans="1:4" x14ac:dyDescent="0.25">
      <c r="A3429" s="7" t="s">
        <v>15477</v>
      </c>
      <c r="B3429" s="8" t="s">
        <v>3013</v>
      </c>
      <c r="C3429" s="8" t="s">
        <v>1865</v>
      </c>
      <c r="D3429" s="8" t="str">
        <f>"9789175192222"</f>
        <v>9789175192222</v>
      </c>
    </row>
    <row r="3430" spans="1:4" x14ac:dyDescent="0.25">
      <c r="A3430" s="7" t="s">
        <v>4066</v>
      </c>
      <c r="B3430" s="8" t="s">
        <v>3882</v>
      </c>
      <c r="C3430" s="8" t="s">
        <v>355</v>
      </c>
      <c r="D3430" s="8" t="str">
        <f>"9783110536409"</f>
        <v>9783110536409</v>
      </c>
    </row>
    <row r="3431" spans="1:4" x14ac:dyDescent="0.25">
      <c r="A3431" s="7" t="s">
        <v>8948</v>
      </c>
      <c r="B3431" s="8" t="s">
        <v>8949</v>
      </c>
      <c r="C3431" s="8" t="s">
        <v>4245</v>
      </c>
      <c r="D3431" s="8" t="str">
        <f>"9789811647994"</f>
        <v>9789811647994</v>
      </c>
    </row>
    <row r="3432" spans="1:4" x14ac:dyDescent="0.25">
      <c r="A3432" s="7" t="s">
        <v>8801</v>
      </c>
      <c r="B3432" s="8" t="s">
        <v>8802</v>
      </c>
      <c r="C3432" s="8" t="s">
        <v>2273</v>
      </c>
      <c r="D3432" s="8" t="str">
        <f>"9783030861780"</f>
        <v>9783030861780</v>
      </c>
    </row>
    <row r="3433" spans="1:4" ht="30" x14ac:dyDescent="0.25">
      <c r="A3433" s="7" t="s">
        <v>9036</v>
      </c>
      <c r="B3433" s="8" t="s">
        <v>9037</v>
      </c>
      <c r="C3433" s="8" t="s">
        <v>2274</v>
      </c>
      <c r="D3433" s="8" t="str">
        <f>"9789811667916"</f>
        <v>9789811667916</v>
      </c>
    </row>
    <row r="3434" spans="1:4" x14ac:dyDescent="0.25">
      <c r="A3434" s="7" t="s">
        <v>2662</v>
      </c>
      <c r="B3434" s="8" t="s">
        <v>2663</v>
      </c>
      <c r="C3434" s="8" t="s">
        <v>2073</v>
      </c>
      <c r="D3434" s="8" t="str">
        <f>"9781438458519"</f>
        <v>9781438458519</v>
      </c>
    </row>
    <row r="3435" spans="1:4" x14ac:dyDescent="0.25">
      <c r="A3435" s="7" t="s">
        <v>14470</v>
      </c>
      <c r="B3435" s="8" t="s">
        <v>14471</v>
      </c>
      <c r="C3435" s="8" t="s">
        <v>1865</v>
      </c>
      <c r="D3435" s="8" t="str">
        <f>"9789179296261"</f>
        <v>9789179296261</v>
      </c>
    </row>
    <row r="3436" spans="1:4" ht="30" x14ac:dyDescent="0.25">
      <c r="A3436" s="7" t="s">
        <v>6084</v>
      </c>
      <c r="B3436" s="8" t="s">
        <v>6068</v>
      </c>
      <c r="C3436" s="8" t="s">
        <v>5134</v>
      </c>
      <c r="D3436" s="8" t="str">
        <f>"9783642050879"</f>
        <v>9783642050879</v>
      </c>
    </row>
    <row r="3437" spans="1:4" ht="30" x14ac:dyDescent="0.25">
      <c r="A3437" s="7" t="s">
        <v>8744</v>
      </c>
      <c r="B3437" s="8" t="s">
        <v>8745</v>
      </c>
      <c r="C3437" s="8" t="s">
        <v>4245</v>
      </c>
      <c r="D3437" s="8" t="str">
        <f>"9789811662386"</f>
        <v>9789811662386</v>
      </c>
    </row>
    <row r="3438" spans="1:4" ht="30" x14ac:dyDescent="0.25">
      <c r="A3438" s="7" t="s">
        <v>14208</v>
      </c>
      <c r="B3438" s="8" t="s">
        <v>218</v>
      </c>
      <c r="C3438" s="8" t="s">
        <v>9256</v>
      </c>
      <c r="D3438" s="8" t="str">
        <f>"9788028000813"</f>
        <v>9788028000813</v>
      </c>
    </row>
    <row r="3439" spans="1:4" ht="30" x14ac:dyDescent="0.25">
      <c r="A3439" s="7" t="s">
        <v>7662</v>
      </c>
      <c r="B3439" s="8" t="s">
        <v>7663</v>
      </c>
      <c r="C3439" s="8" t="s">
        <v>993</v>
      </c>
      <c r="D3439" s="8" t="str">
        <f>"9783839423967"</f>
        <v>9783839423967</v>
      </c>
    </row>
    <row r="3440" spans="1:4" x14ac:dyDescent="0.25">
      <c r="A3440" s="7" t="s">
        <v>10278</v>
      </c>
      <c r="B3440" s="8" t="s">
        <v>156</v>
      </c>
      <c r="C3440" s="8" t="s">
        <v>993</v>
      </c>
      <c r="D3440" s="8" t="str">
        <f>"9783839447406"</f>
        <v>9783839447406</v>
      </c>
    </row>
    <row r="3441" spans="1:4" x14ac:dyDescent="0.25">
      <c r="A3441" s="7" t="s">
        <v>683</v>
      </c>
      <c r="B3441" s="8" t="s">
        <v>684</v>
      </c>
      <c r="C3441" s="8" t="s">
        <v>316</v>
      </c>
      <c r="D3441" s="8" t="str">
        <f>"9783110328837"</f>
        <v>9783110328837</v>
      </c>
    </row>
    <row r="3442" spans="1:4" ht="30" x14ac:dyDescent="0.25">
      <c r="A3442" s="7" t="s">
        <v>9914</v>
      </c>
      <c r="B3442" s="8" t="s">
        <v>9915</v>
      </c>
      <c r="C3442" s="8" t="s">
        <v>993</v>
      </c>
      <c r="D3442" s="8" t="str">
        <f>"9783839407943"</f>
        <v>9783839407943</v>
      </c>
    </row>
    <row r="3443" spans="1:4" x14ac:dyDescent="0.25">
      <c r="A3443" s="7" t="s">
        <v>9722</v>
      </c>
      <c r="B3443" s="8" t="s">
        <v>9723</v>
      </c>
      <c r="C3443" s="8" t="s">
        <v>993</v>
      </c>
      <c r="D3443" s="8" t="str">
        <f>"9783839402863"</f>
        <v>9783839402863</v>
      </c>
    </row>
    <row r="3444" spans="1:4" ht="30" x14ac:dyDescent="0.25">
      <c r="A3444" s="7" t="s">
        <v>9997</v>
      </c>
      <c r="B3444" s="8" t="s">
        <v>152</v>
      </c>
      <c r="C3444" s="8" t="s">
        <v>993</v>
      </c>
      <c r="D3444" s="8" t="str">
        <f>"9783839409671"</f>
        <v>9783839409671</v>
      </c>
    </row>
    <row r="3445" spans="1:4" ht="30" x14ac:dyDescent="0.25">
      <c r="A3445" s="7" t="s">
        <v>12348</v>
      </c>
      <c r="B3445" s="8" t="s">
        <v>12349</v>
      </c>
      <c r="C3445" s="8" t="s">
        <v>993</v>
      </c>
      <c r="D3445" s="8" t="str">
        <f>"9783839462539"</f>
        <v>9783839462539</v>
      </c>
    </row>
    <row r="3446" spans="1:4" x14ac:dyDescent="0.25">
      <c r="A3446" s="7" t="s">
        <v>8539</v>
      </c>
      <c r="B3446" s="8" t="s">
        <v>8540</v>
      </c>
      <c r="C3446" s="8" t="s">
        <v>993</v>
      </c>
      <c r="D3446" s="8" t="str">
        <f>"9783839431269"</f>
        <v>9783839431269</v>
      </c>
    </row>
    <row r="3447" spans="1:4" x14ac:dyDescent="0.25">
      <c r="A3447" s="7" t="s">
        <v>446</v>
      </c>
      <c r="B3447" s="8" t="s">
        <v>447</v>
      </c>
      <c r="C3447" s="8" t="s">
        <v>316</v>
      </c>
      <c r="D3447" s="8" t="str">
        <f>"9783598441493"</f>
        <v>9783598441493</v>
      </c>
    </row>
    <row r="3448" spans="1:4" ht="30" x14ac:dyDescent="0.25">
      <c r="A3448" s="7" t="s">
        <v>14762</v>
      </c>
      <c r="B3448" s="8" t="s">
        <v>14763</v>
      </c>
      <c r="C3448" s="8" t="s">
        <v>1865</v>
      </c>
      <c r="D3448" s="8" t="str">
        <f>"9789176858097"</f>
        <v>9789176858097</v>
      </c>
    </row>
    <row r="3449" spans="1:4" x14ac:dyDescent="0.25">
      <c r="A3449" s="7" t="s">
        <v>8187</v>
      </c>
      <c r="B3449" s="8" t="s">
        <v>8188</v>
      </c>
      <c r="C3449" s="8" t="s">
        <v>993</v>
      </c>
      <c r="D3449" s="8" t="str">
        <f>"9783839441190"</f>
        <v>9783839441190</v>
      </c>
    </row>
    <row r="3450" spans="1:4" x14ac:dyDescent="0.25">
      <c r="A3450" s="7" t="s">
        <v>14995</v>
      </c>
      <c r="B3450" s="8" t="s">
        <v>14996</v>
      </c>
      <c r="C3450" s="8" t="s">
        <v>1865</v>
      </c>
      <c r="D3450" s="8" t="str">
        <f>"9789175193366"</f>
        <v>9789175193366</v>
      </c>
    </row>
    <row r="3451" spans="1:4" x14ac:dyDescent="0.25">
      <c r="A3451" s="7" t="s">
        <v>8694</v>
      </c>
      <c r="B3451" s="8" t="s">
        <v>8695</v>
      </c>
      <c r="C3451" s="8" t="s">
        <v>4245</v>
      </c>
      <c r="D3451" s="8" t="str">
        <f>"9789811658433"</f>
        <v>9789811658433</v>
      </c>
    </row>
    <row r="3452" spans="1:4" ht="30" x14ac:dyDescent="0.25">
      <c r="A3452" s="7" t="s">
        <v>14814</v>
      </c>
      <c r="B3452" s="8" t="s">
        <v>14815</v>
      </c>
      <c r="C3452" s="8" t="s">
        <v>1865</v>
      </c>
      <c r="D3452" s="8" t="str">
        <f>"9789179295646"</f>
        <v>9789179295646</v>
      </c>
    </row>
    <row r="3453" spans="1:4" x14ac:dyDescent="0.25">
      <c r="A3453" s="7" t="s">
        <v>16051</v>
      </c>
      <c r="B3453" s="8" t="s">
        <v>16052</v>
      </c>
      <c r="C3453" s="8" t="s">
        <v>1865</v>
      </c>
      <c r="D3453" s="8" t="str">
        <f>"9789176858103"</f>
        <v>9789176858103</v>
      </c>
    </row>
    <row r="3454" spans="1:4" ht="30" x14ac:dyDescent="0.25">
      <c r="A3454" s="7" t="s">
        <v>10819</v>
      </c>
      <c r="B3454" s="8" t="s">
        <v>10820</v>
      </c>
      <c r="C3454" s="8" t="s">
        <v>1342</v>
      </c>
      <c r="D3454" s="8" t="str">
        <f>"9789633864364"</f>
        <v>9789633864364</v>
      </c>
    </row>
    <row r="3455" spans="1:4" x14ac:dyDescent="0.25">
      <c r="A3455" s="7" t="s">
        <v>4123</v>
      </c>
      <c r="B3455" s="8" t="s">
        <v>4124</v>
      </c>
      <c r="C3455" s="8" t="s">
        <v>1865</v>
      </c>
      <c r="D3455" s="8" t="str">
        <f>"9789176852163"</f>
        <v>9789176852163</v>
      </c>
    </row>
    <row r="3456" spans="1:4" ht="30" x14ac:dyDescent="0.25">
      <c r="A3456" s="7" t="s">
        <v>3678</v>
      </c>
      <c r="B3456" s="8" t="s">
        <v>3679</v>
      </c>
      <c r="C3456" s="8" t="s">
        <v>1036</v>
      </c>
      <c r="D3456" s="8" t="str">
        <f>"9789027264107"</f>
        <v>9789027264107</v>
      </c>
    </row>
    <row r="3457" spans="1:4" x14ac:dyDescent="0.25">
      <c r="A3457" s="7" t="s">
        <v>15247</v>
      </c>
      <c r="B3457" s="8" t="s">
        <v>15248</v>
      </c>
      <c r="C3457" s="8" t="s">
        <v>1865</v>
      </c>
      <c r="D3457" s="8" t="str">
        <f>"9789175198439"</f>
        <v>9789175198439</v>
      </c>
    </row>
    <row r="3458" spans="1:4" x14ac:dyDescent="0.25">
      <c r="A3458" s="7" t="s">
        <v>15119</v>
      </c>
      <c r="B3458" s="8" t="s">
        <v>15120</v>
      </c>
      <c r="C3458" s="8" t="s">
        <v>1865</v>
      </c>
      <c r="D3458" s="8" t="str">
        <f>"9789175195322"</f>
        <v>9789175195322</v>
      </c>
    </row>
    <row r="3459" spans="1:4" x14ac:dyDescent="0.25">
      <c r="A3459" s="7" t="s">
        <v>15521</v>
      </c>
      <c r="B3459" s="8" t="s">
        <v>15522</v>
      </c>
      <c r="C3459" s="8" t="s">
        <v>1865</v>
      </c>
      <c r="D3459" s="8" t="str">
        <f>"9789175197104"</f>
        <v>9789175197104</v>
      </c>
    </row>
    <row r="3460" spans="1:4" x14ac:dyDescent="0.25">
      <c r="A3460" s="7" t="s">
        <v>2836</v>
      </c>
      <c r="B3460" s="8" t="s">
        <v>2837</v>
      </c>
      <c r="C3460" s="8" t="s">
        <v>1865</v>
      </c>
      <c r="D3460" s="8" t="str">
        <f>"9789176856840"</f>
        <v>9789176856840</v>
      </c>
    </row>
    <row r="3461" spans="1:4" x14ac:dyDescent="0.25">
      <c r="A3461" s="7" t="s">
        <v>14885</v>
      </c>
      <c r="B3461" s="8" t="s">
        <v>8664</v>
      </c>
      <c r="C3461" s="8" t="s">
        <v>1865</v>
      </c>
      <c r="D3461" s="8" t="str">
        <f>"9789176852620"</f>
        <v>9789176852620</v>
      </c>
    </row>
    <row r="3462" spans="1:4" x14ac:dyDescent="0.25">
      <c r="A3462" s="7" t="s">
        <v>16372</v>
      </c>
      <c r="B3462" s="8" t="s">
        <v>16373</v>
      </c>
      <c r="C3462" s="8" t="s">
        <v>1865</v>
      </c>
      <c r="D3462" s="8" t="str">
        <f>"9789175191393"</f>
        <v>9789175191393</v>
      </c>
    </row>
    <row r="3463" spans="1:4" x14ac:dyDescent="0.25">
      <c r="A3463" s="7" t="s">
        <v>4540</v>
      </c>
      <c r="B3463" s="8" t="s">
        <v>4541</v>
      </c>
      <c r="C3463" s="8" t="s">
        <v>1865</v>
      </c>
      <c r="D3463" s="8" t="str">
        <f>"9789176850213"</f>
        <v>9789176850213</v>
      </c>
    </row>
    <row r="3464" spans="1:4" x14ac:dyDescent="0.25">
      <c r="A3464" s="7" t="s">
        <v>11287</v>
      </c>
      <c r="B3464" s="8" t="s">
        <v>11288</v>
      </c>
      <c r="C3464" s="8" t="s">
        <v>355</v>
      </c>
      <c r="D3464" s="8" t="str">
        <f>"9783111661483"</f>
        <v>9783111661483</v>
      </c>
    </row>
    <row r="3465" spans="1:4" ht="30" x14ac:dyDescent="0.25">
      <c r="A3465" s="7" t="s">
        <v>13370</v>
      </c>
      <c r="B3465" s="8" t="s">
        <v>192</v>
      </c>
      <c r="C3465" s="8" t="s">
        <v>12712</v>
      </c>
      <c r="D3465" s="8" t="str">
        <f>"9783428575343"</f>
        <v>9783428575343</v>
      </c>
    </row>
    <row r="3466" spans="1:4" ht="30" x14ac:dyDescent="0.25">
      <c r="A3466" s="7" t="s">
        <v>12889</v>
      </c>
      <c r="B3466" s="8" t="s">
        <v>12890</v>
      </c>
      <c r="C3466" s="8" t="s">
        <v>12712</v>
      </c>
      <c r="D3466" s="8" t="str">
        <f>"9783428444939"</f>
        <v>9783428444939</v>
      </c>
    </row>
    <row r="3467" spans="1:4" ht="30" x14ac:dyDescent="0.25">
      <c r="A3467" s="7" t="s">
        <v>12796</v>
      </c>
      <c r="B3467" s="8" t="s">
        <v>12783</v>
      </c>
      <c r="C3467" s="8" t="s">
        <v>12712</v>
      </c>
      <c r="D3467" s="8" t="str">
        <f>"9783428423804"</f>
        <v>9783428423804</v>
      </c>
    </row>
    <row r="3468" spans="1:4" x14ac:dyDescent="0.25">
      <c r="A3468" s="7" t="s">
        <v>10919</v>
      </c>
      <c r="B3468" s="8" t="s">
        <v>10920</v>
      </c>
      <c r="C3468" s="8" t="s">
        <v>316</v>
      </c>
      <c r="D3468" s="8" t="str">
        <f>"9783110520521"</f>
        <v>9783110520521</v>
      </c>
    </row>
    <row r="3469" spans="1:4" x14ac:dyDescent="0.25">
      <c r="A3469" s="7" t="s">
        <v>11822</v>
      </c>
      <c r="B3469" s="8" t="s">
        <v>11823</v>
      </c>
      <c r="C3469" s="8" t="s">
        <v>355</v>
      </c>
      <c r="D3469" s="8" t="str">
        <f>"9783110900668"</f>
        <v>9783110900668</v>
      </c>
    </row>
    <row r="3470" spans="1:4" x14ac:dyDescent="0.25">
      <c r="A3470" s="7" t="s">
        <v>12778</v>
      </c>
      <c r="B3470" s="8" t="s">
        <v>12774</v>
      </c>
      <c r="C3470" s="8" t="s">
        <v>12712</v>
      </c>
      <c r="D3470" s="8" t="str">
        <f>"9783428419234"</f>
        <v>9783428419234</v>
      </c>
    </row>
    <row r="3471" spans="1:4" ht="60" x14ac:dyDescent="0.25">
      <c r="A3471" s="7" t="s">
        <v>13371</v>
      </c>
      <c r="B3471" s="8" t="s">
        <v>13064</v>
      </c>
      <c r="C3471" s="8" t="s">
        <v>12712</v>
      </c>
      <c r="D3471" s="8" t="str">
        <f>"9783428575350"</f>
        <v>9783428575350</v>
      </c>
    </row>
    <row r="3472" spans="1:4" x14ac:dyDescent="0.25">
      <c r="A3472" s="7" t="s">
        <v>12055</v>
      </c>
      <c r="B3472" s="8" t="s">
        <v>12056</v>
      </c>
      <c r="C3472" s="8" t="s">
        <v>355</v>
      </c>
      <c r="D3472" s="8" t="str">
        <f>"9783110761658"</f>
        <v>9783110761658</v>
      </c>
    </row>
    <row r="3473" spans="1:4" ht="45" x14ac:dyDescent="0.25">
      <c r="A3473" s="7" t="s">
        <v>1140</v>
      </c>
      <c r="B3473" s="8" t="s">
        <v>25</v>
      </c>
      <c r="C3473" s="8" t="s">
        <v>316</v>
      </c>
      <c r="D3473" s="8" t="str">
        <f>"9783110873818"</f>
        <v>9783110873818</v>
      </c>
    </row>
    <row r="3474" spans="1:4" x14ac:dyDescent="0.25">
      <c r="A3474" s="7" t="s">
        <v>12407</v>
      </c>
      <c r="B3474" s="8" t="s">
        <v>181</v>
      </c>
      <c r="C3474" s="8" t="s">
        <v>355</v>
      </c>
      <c r="D3474" s="8" t="str">
        <f>"9783110765526"</f>
        <v>9783110765526</v>
      </c>
    </row>
    <row r="3475" spans="1:4" x14ac:dyDescent="0.25">
      <c r="A3475" s="7" t="s">
        <v>12208</v>
      </c>
      <c r="B3475" s="8" t="s">
        <v>12209</v>
      </c>
      <c r="C3475" s="8" t="s">
        <v>355</v>
      </c>
      <c r="D3475" s="8" t="str">
        <f>"9783110765533"</f>
        <v>9783110765533</v>
      </c>
    </row>
    <row r="3476" spans="1:4" ht="60" x14ac:dyDescent="0.25">
      <c r="A3476" s="7" t="s">
        <v>1163</v>
      </c>
      <c r="B3476" s="8" t="s">
        <v>1164</v>
      </c>
      <c r="C3476" s="8" t="s">
        <v>316</v>
      </c>
      <c r="D3476" s="8" t="str">
        <f>"9783110890211"</f>
        <v>9783110890211</v>
      </c>
    </row>
    <row r="3477" spans="1:4" x14ac:dyDescent="0.25">
      <c r="A3477" s="7" t="s">
        <v>11770</v>
      </c>
      <c r="B3477" s="8" t="s">
        <v>11771</v>
      </c>
      <c r="C3477" s="8" t="s">
        <v>355</v>
      </c>
      <c r="D3477" s="8" t="str">
        <f>"9783111460871"</f>
        <v>9783111460871</v>
      </c>
    </row>
    <row r="3478" spans="1:4" ht="30" x14ac:dyDescent="0.25">
      <c r="A3478" s="7" t="s">
        <v>11499</v>
      </c>
      <c r="B3478" s="8" t="s">
        <v>11500</v>
      </c>
      <c r="C3478" s="8" t="s">
        <v>355</v>
      </c>
      <c r="D3478" s="8" t="str">
        <f>"9783486776775"</f>
        <v>9783486776775</v>
      </c>
    </row>
    <row r="3479" spans="1:4" x14ac:dyDescent="0.25">
      <c r="A3479" s="7" t="s">
        <v>11815</v>
      </c>
      <c r="B3479" s="8" t="s">
        <v>11816</v>
      </c>
      <c r="C3479" s="8" t="s">
        <v>355</v>
      </c>
      <c r="D3479" s="8" t="str">
        <f>"9783111502793"</f>
        <v>9783111502793</v>
      </c>
    </row>
    <row r="3480" spans="1:4" ht="45" x14ac:dyDescent="0.25">
      <c r="A3480" s="7" t="s">
        <v>1138</v>
      </c>
      <c r="B3480" s="8" t="s">
        <v>1139</v>
      </c>
      <c r="C3480" s="8" t="s">
        <v>316</v>
      </c>
      <c r="D3480" s="8" t="str">
        <f>"9783110891270"</f>
        <v>9783110891270</v>
      </c>
    </row>
    <row r="3481" spans="1:4" ht="30" x14ac:dyDescent="0.25">
      <c r="A3481" s="7" t="s">
        <v>14138</v>
      </c>
      <c r="B3481" s="8" t="s">
        <v>14139</v>
      </c>
      <c r="C3481" s="8" t="s">
        <v>5086</v>
      </c>
      <c r="D3481" s="8" t="str">
        <f>"9783658405441"</f>
        <v>9783658405441</v>
      </c>
    </row>
    <row r="3482" spans="1:4" ht="45" x14ac:dyDescent="0.25">
      <c r="A3482" s="7" t="s">
        <v>490</v>
      </c>
      <c r="B3482" s="8" t="s">
        <v>491</v>
      </c>
      <c r="C3482" s="8" t="s">
        <v>316</v>
      </c>
      <c r="D3482" s="8" t="str">
        <f>"9783110287424"</f>
        <v>9783110287424</v>
      </c>
    </row>
    <row r="3483" spans="1:4" ht="45" x14ac:dyDescent="0.25">
      <c r="A3483" s="7" t="s">
        <v>12779</v>
      </c>
      <c r="B3483" s="8" t="s">
        <v>12774</v>
      </c>
      <c r="C3483" s="8" t="s">
        <v>12712</v>
      </c>
      <c r="D3483" s="8" t="str">
        <f>"9783428419241"</f>
        <v>9783428419241</v>
      </c>
    </row>
    <row r="3484" spans="1:4" x14ac:dyDescent="0.25">
      <c r="A3484" s="7" t="s">
        <v>10418</v>
      </c>
      <c r="B3484" s="8" t="s">
        <v>10419</v>
      </c>
      <c r="C3484" s="8" t="s">
        <v>993</v>
      </c>
      <c r="D3484" s="8" t="str">
        <f>"9783839455944"</f>
        <v>9783839455944</v>
      </c>
    </row>
    <row r="3485" spans="1:4" x14ac:dyDescent="0.25">
      <c r="A3485" s="7" t="s">
        <v>14536</v>
      </c>
      <c r="B3485" s="8" t="s">
        <v>14537</v>
      </c>
      <c r="C3485" s="8" t="s">
        <v>1865</v>
      </c>
      <c r="D3485" s="8" t="str">
        <f>"9789179297251"</f>
        <v>9789179297251</v>
      </c>
    </row>
    <row r="3486" spans="1:4" x14ac:dyDescent="0.25">
      <c r="A3486" s="7" t="s">
        <v>11597</v>
      </c>
      <c r="B3486" s="8" t="s">
        <v>11598</v>
      </c>
      <c r="C3486" s="8" t="s">
        <v>355</v>
      </c>
      <c r="D3486" s="8" t="str">
        <f>"9783110821482"</f>
        <v>9783110821482</v>
      </c>
    </row>
    <row r="3487" spans="1:4" ht="30" x14ac:dyDescent="0.25">
      <c r="A3487" s="7" t="s">
        <v>11372</v>
      </c>
      <c r="B3487" s="8" t="s">
        <v>11373</v>
      </c>
      <c r="C3487" s="8" t="s">
        <v>355</v>
      </c>
      <c r="D3487" s="8" t="str">
        <f>"9783110920659"</f>
        <v>9783110920659</v>
      </c>
    </row>
    <row r="3488" spans="1:4" x14ac:dyDescent="0.25">
      <c r="A3488" s="7" t="s">
        <v>7095</v>
      </c>
      <c r="B3488" s="8" t="s">
        <v>7096</v>
      </c>
      <c r="C3488" s="8" t="s">
        <v>355</v>
      </c>
      <c r="D3488" s="8" t="str">
        <f>"9783110695380"</f>
        <v>9783110695380</v>
      </c>
    </row>
    <row r="3489" spans="1:4" x14ac:dyDescent="0.25">
      <c r="A3489" s="7" t="s">
        <v>5532</v>
      </c>
      <c r="B3489" s="8" t="s">
        <v>5533</v>
      </c>
      <c r="C3489" s="8" t="s">
        <v>2273</v>
      </c>
      <c r="D3489" s="8" t="str">
        <f>"9783030517014"</f>
        <v>9783030517014</v>
      </c>
    </row>
    <row r="3490" spans="1:4" x14ac:dyDescent="0.25">
      <c r="A3490" s="7" t="s">
        <v>15215</v>
      </c>
      <c r="B3490" s="8" t="s">
        <v>15216</v>
      </c>
      <c r="C3490" s="8" t="s">
        <v>1865</v>
      </c>
      <c r="D3490" s="8" t="str">
        <f>"9789176857724"</f>
        <v>9789176857724</v>
      </c>
    </row>
    <row r="3491" spans="1:4" x14ac:dyDescent="0.25">
      <c r="A3491" s="7" t="s">
        <v>7991</v>
      </c>
      <c r="B3491" s="8" t="s">
        <v>7992</v>
      </c>
      <c r="C3491" s="8" t="s">
        <v>1962</v>
      </c>
      <c r="D3491" s="8" t="str">
        <f>"9782759224821"</f>
        <v>9782759224821</v>
      </c>
    </row>
    <row r="3492" spans="1:4" x14ac:dyDescent="0.25">
      <c r="A3492" s="7" t="s">
        <v>1977</v>
      </c>
      <c r="B3492" s="8" t="s">
        <v>1978</v>
      </c>
      <c r="C3492" s="8" t="s">
        <v>1962</v>
      </c>
      <c r="D3492" s="8" t="str">
        <f>"9782759207329"</f>
        <v>9782759207329</v>
      </c>
    </row>
    <row r="3493" spans="1:4" x14ac:dyDescent="0.25">
      <c r="A3493" s="7" t="s">
        <v>2014</v>
      </c>
      <c r="B3493" s="8" t="s">
        <v>2015</v>
      </c>
      <c r="C3493" s="8" t="s">
        <v>1962</v>
      </c>
      <c r="D3493" s="8" t="str">
        <f>"9782759206933"</f>
        <v>9782759206933</v>
      </c>
    </row>
    <row r="3494" spans="1:4" x14ac:dyDescent="0.25">
      <c r="A3494" s="7" t="s">
        <v>9375</v>
      </c>
      <c r="B3494" s="8" t="s">
        <v>9326</v>
      </c>
      <c r="C3494" s="8" t="s">
        <v>9256</v>
      </c>
      <c r="D3494" s="8" t="str">
        <f>"9788021096714"</f>
        <v>9788021096714</v>
      </c>
    </row>
    <row r="3495" spans="1:4" ht="30" x14ac:dyDescent="0.25">
      <c r="A3495" s="7" t="s">
        <v>9119</v>
      </c>
      <c r="B3495" s="8" t="s">
        <v>9120</v>
      </c>
      <c r="C3495" s="8" t="s">
        <v>4245</v>
      </c>
      <c r="D3495" s="8" t="str">
        <f>"9789811690242"</f>
        <v>9789811690242</v>
      </c>
    </row>
    <row r="3496" spans="1:4" ht="30" x14ac:dyDescent="0.25">
      <c r="A3496" s="7" t="s">
        <v>5754</v>
      </c>
      <c r="B3496" s="8" t="s">
        <v>5755</v>
      </c>
      <c r="C3496" s="8" t="s">
        <v>2273</v>
      </c>
      <c r="D3496" s="8" t="str">
        <f>"9783319961903"</f>
        <v>9783319961903</v>
      </c>
    </row>
    <row r="3497" spans="1:4" x14ac:dyDescent="0.25">
      <c r="A3497" s="7" t="s">
        <v>346</v>
      </c>
      <c r="B3497" s="8" t="s">
        <v>347</v>
      </c>
      <c r="C3497" s="8" t="s">
        <v>316</v>
      </c>
      <c r="D3497" s="8" t="str">
        <f>"9783598441783"</f>
        <v>9783598441783</v>
      </c>
    </row>
    <row r="3498" spans="1:4" ht="30" x14ac:dyDescent="0.25">
      <c r="A3498" s="7" t="s">
        <v>11894</v>
      </c>
      <c r="B3498" s="8" t="s">
        <v>11895</v>
      </c>
      <c r="C3498" s="8" t="s">
        <v>355</v>
      </c>
      <c r="D3498" s="8" t="str">
        <f>"9783110613445"</f>
        <v>9783110613445</v>
      </c>
    </row>
    <row r="3499" spans="1:4" x14ac:dyDescent="0.25">
      <c r="A3499" s="7" t="s">
        <v>7270</v>
      </c>
      <c r="B3499" s="8" t="s">
        <v>5002</v>
      </c>
      <c r="C3499" s="8" t="s">
        <v>355</v>
      </c>
      <c r="D3499" s="8" t="str">
        <f>"9783110677713"</f>
        <v>9783110677713</v>
      </c>
    </row>
    <row r="3500" spans="1:4" x14ac:dyDescent="0.25">
      <c r="A3500" s="7" t="s">
        <v>11067</v>
      </c>
      <c r="B3500" s="8" t="s">
        <v>11068</v>
      </c>
      <c r="C3500" s="8" t="s">
        <v>2082</v>
      </c>
      <c r="D3500" s="8" t="str">
        <f>"9780472900886"</f>
        <v>9780472900886</v>
      </c>
    </row>
    <row r="3501" spans="1:4" ht="30" x14ac:dyDescent="0.25">
      <c r="A3501" s="7" t="s">
        <v>10397</v>
      </c>
      <c r="B3501" s="8" t="s">
        <v>10398</v>
      </c>
      <c r="C3501" s="8" t="s">
        <v>993</v>
      </c>
      <c r="D3501" s="8" t="str">
        <f>"9783839454695"</f>
        <v>9783839454695</v>
      </c>
    </row>
    <row r="3502" spans="1:4" ht="30" x14ac:dyDescent="0.25">
      <c r="A3502" s="7" t="s">
        <v>15123</v>
      </c>
      <c r="B3502" s="8" t="s">
        <v>15124</v>
      </c>
      <c r="C3502" s="8" t="s">
        <v>1865</v>
      </c>
      <c r="D3502" s="8" t="str">
        <f>"9789175193069"</f>
        <v>9789175193069</v>
      </c>
    </row>
    <row r="3503" spans="1:4" ht="30" x14ac:dyDescent="0.25">
      <c r="A3503" s="7" t="s">
        <v>10089</v>
      </c>
      <c r="B3503" s="8" t="s">
        <v>809</v>
      </c>
      <c r="C3503" s="8" t="s">
        <v>993</v>
      </c>
      <c r="D3503" s="8" t="str">
        <f>"9783839432723"</f>
        <v>9783839432723</v>
      </c>
    </row>
    <row r="3504" spans="1:4" ht="45" x14ac:dyDescent="0.25">
      <c r="A3504" s="7" t="s">
        <v>6069</v>
      </c>
      <c r="B3504" s="8" t="s">
        <v>5940</v>
      </c>
      <c r="C3504" s="8" t="s">
        <v>5939</v>
      </c>
      <c r="D3504" s="8" t="str">
        <f>"9781493934478"</f>
        <v>9781493934478</v>
      </c>
    </row>
    <row r="3505" spans="1:4" ht="45" x14ac:dyDescent="0.25">
      <c r="A3505" s="7" t="s">
        <v>5938</v>
      </c>
      <c r="B3505" s="8" t="s">
        <v>5940</v>
      </c>
      <c r="C3505" s="8" t="s">
        <v>5939</v>
      </c>
      <c r="D3505" s="8" t="str">
        <f>"9781493934560"</f>
        <v>9781493934560</v>
      </c>
    </row>
    <row r="3506" spans="1:4" ht="30" x14ac:dyDescent="0.25">
      <c r="A3506" s="7" t="s">
        <v>4296</v>
      </c>
      <c r="B3506" s="8" t="s">
        <v>4297</v>
      </c>
      <c r="C3506" s="8" t="s">
        <v>1345</v>
      </c>
      <c r="D3506" s="8" t="str">
        <f>"9783737603157"</f>
        <v>9783737603157</v>
      </c>
    </row>
    <row r="3507" spans="1:4" x14ac:dyDescent="0.25">
      <c r="A3507" s="7" t="s">
        <v>9184</v>
      </c>
      <c r="B3507" s="8" t="s">
        <v>9185</v>
      </c>
      <c r="C3507" s="8" t="s">
        <v>4882</v>
      </c>
      <c r="D3507" s="8" t="str">
        <f>"9781781386705"</f>
        <v>9781781386705</v>
      </c>
    </row>
    <row r="3508" spans="1:4" x14ac:dyDescent="0.25">
      <c r="A3508" s="7" t="s">
        <v>270</v>
      </c>
      <c r="B3508" s="8" t="s">
        <v>271</v>
      </c>
      <c r="C3508" s="8" t="s">
        <v>227</v>
      </c>
      <c r="D3508" s="8" t="str">
        <f>"9781847790200"</f>
        <v>9781847790200</v>
      </c>
    </row>
    <row r="3509" spans="1:4" ht="30" x14ac:dyDescent="0.25">
      <c r="A3509" s="7" t="s">
        <v>14859</v>
      </c>
      <c r="B3509" s="8" t="s">
        <v>3090</v>
      </c>
      <c r="C3509" s="8" t="s">
        <v>1865</v>
      </c>
      <c r="D3509" s="8" t="str">
        <f>"9789175191744"</f>
        <v>9789175191744</v>
      </c>
    </row>
    <row r="3510" spans="1:4" ht="30" x14ac:dyDescent="0.25">
      <c r="A3510" s="7" t="s">
        <v>3295</v>
      </c>
      <c r="B3510" s="8" t="s">
        <v>3296</v>
      </c>
      <c r="C3510" s="8" t="s">
        <v>1865</v>
      </c>
      <c r="D3510" s="8" t="str">
        <f>"9789176854457"</f>
        <v>9789176854457</v>
      </c>
    </row>
    <row r="3511" spans="1:4" ht="30" x14ac:dyDescent="0.25">
      <c r="A3511" s="7" t="s">
        <v>6271</v>
      </c>
      <c r="B3511" s="8" t="s">
        <v>6272</v>
      </c>
      <c r="C3511" s="8" t="s">
        <v>5134</v>
      </c>
      <c r="D3511" s="8" t="str">
        <f>"9783662553794"</f>
        <v>9783662553794</v>
      </c>
    </row>
    <row r="3512" spans="1:4" x14ac:dyDescent="0.25">
      <c r="A3512" s="7" t="s">
        <v>11952</v>
      </c>
      <c r="B3512" s="8" t="s">
        <v>11953</v>
      </c>
      <c r="C3512" s="8" t="s">
        <v>355</v>
      </c>
      <c r="D3512" s="8" t="str">
        <f>"9783111526966"</f>
        <v>9783111526966</v>
      </c>
    </row>
    <row r="3513" spans="1:4" ht="30" x14ac:dyDescent="0.25">
      <c r="A3513" s="7" t="s">
        <v>14775</v>
      </c>
      <c r="B3513" s="8" t="s">
        <v>14776</v>
      </c>
      <c r="C3513" s="8" t="s">
        <v>1865</v>
      </c>
      <c r="D3513" s="8" t="str">
        <f>"9789176858738"</f>
        <v>9789176858738</v>
      </c>
    </row>
    <row r="3514" spans="1:4" x14ac:dyDescent="0.25">
      <c r="A3514" s="7" t="s">
        <v>7239</v>
      </c>
      <c r="B3514" s="8" t="s">
        <v>7240</v>
      </c>
      <c r="C3514" s="8" t="s">
        <v>355</v>
      </c>
      <c r="D3514" s="8" t="str">
        <f>"9783110607741"</f>
        <v>9783110607741</v>
      </c>
    </row>
    <row r="3515" spans="1:4" ht="30" x14ac:dyDescent="0.25">
      <c r="A3515" s="7" t="s">
        <v>12153</v>
      </c>
      <c r="B3515" s="8" t="s">
        <v>12154</v>
      </c>
      <c r="C3515" s="8" t="s">
        <v>355</v>
      </c>
      <c r="D3515" s="8" t="str">
        <f>"9783110607642"</f>
        <v>9783110607642</v>
      </c>
    </row>
    <row r="3516" spans="1:4" x14ac:dyDescent="0.25">
      <c r="A3516" s="7" t="s">
        <v>2306</v>
      </c>
      <c r="B3516" s="8" t="s">
        <v>1745</v>
      </c>
      <c r="C3516" s="8" t="s">
        <v>1345</v>
      </c>
      <c r="D3516" s="8" t="str">
        <f>"9783737600439"</f>
        <v>9783737600439</v>
      </c>
    </row>
    <row r="3517" spans="1:4" x14ac:dyDescent="0.25">
      <c r="A3517" s="7" t="s">
        <v>14132</v>
      </c>
      <c r="B3517" s="8" t="s">
        <v>14133</v>
      </c>
      <c r="C3517" s="8" t="s">
        <v>2273</v>
      </c>
      <c r="D3517" s="8" t="str">
        <f>"9783031166242"</f>
        <v>9783031166242</v>
      </c>
    </row>
    <row r="3518" spans="1:4" ht="30" x14ac:dyDescent="0.25">
      <c r="A3518" s="7" t="s">
        <v>9053</v>
      </c>
      <c r="B3518" s="8" t="s">
        <v>9054</v>
      </c>
      <c r="C3518" s="8" t="s">
        <v>2273</v>
      </c>
      <c r="D3518" s="8" t="str">
        <f>"9783030876647"</f>
        <v>9783030876647</v>
      </c>
    </row>
    <row r="3519" spans="1:4" x14ac:dyDescent="0.25">
      <c r="A3519" s="7" t="s">
        <v>5885</v>
      </c>
      <c r="B3519" s="8" t="s">
        <v>5886</v>
      </c>
      <c r="C3519" s="8" t="s">
        <v>2273</v>
      </c>
      <c r="D3519" s="8" t="str">
        <f>"9783319398891"</f>
        <v>9783319398891</v>
      </c>
    </row>
    <row r="3520" spans="1:4" x14ac:dyDescent="0.25">
      <c r="A3520" s="7" t="s">
        <v>13938</v>
      </c>
      <c r="B3520" s="8" t="s">
        <v>13939</v>
      </c>
      <c r="C3520" s="8" t="s">
        <v>2274</v>
      </c>
      <c r="D3520" s="8" t="str">
        <f>"9789811920806"</f>
        <v>9789811920806</v>
      </c>
    </row>
    <row r="3521" spans="1:4" x14ac:dyDescent="0.25">
      <c r="A3521" s="7" t="s">
        <v>11575</v>
      </c>
      <c r="B3521" s="8" t="s">
        <v>11576</v>
      </c>
      <c r="C3521" s="8" t="s">
        <v>355</v>
      </c>
      <c r="D3521" s="8" t="str">
        <f>"9783110671056"</f>
        <v>9783110671056</v>
      </c>
    </row>
    <row r="3522" spans="1:4" x14ac:dyDescent="0.25">
      <c r="A3522" s="7" t="s">
        <v>13607</v>
      </c>
      <c r="B3522" s="8" t="s">
        <v>13608</v>
      </c>
      <c r="C3522" s="8" t="s">
        <v>2273</v>
      </c>
      <c r="D3522" s="8" t="str">
        <f>"9783031102745"</f>
        <v>9783031102745</v>
      </c>
    </row>
    <row r="3523" spans="1:4" x14ac:dyDescent="0.25">
      <c r="A3523" s="7" t="s">
        <v>10999</v>
      </c>
      <c r="B3523" s="8" t="s">
        <v>11001</v>
      </c>
      <c r="C3523" s="8" t="s">
        <v>11000</v>
      </c>
      <c r="D3523" s="8" t="str">
        <f>"9781799898078"</f>
        <v>9781799898078</v>
      </c>
    </row>
    <row r="3524" spans="1:4" x14ac:dyDescent="0.25">
      <c r="A3524" s="7" t="s">
        <v>6996</v>
      </c>
      <c r="B3524" s="8" t="s">
        <v>6997</v>
      </c>
      <c r="C3524" s="8" t="s">
        <v>355</v>
      </c>
      <c r="D3524" s="8" t="str">
        <f>"9783110684384"</f>
        <v>9783110684384</v>
      </c>
    </row>
    <row r="3525" spans="1:4" x14ac:dyDescent="0.25">
      <c r="A3525" s="7" t="s">
        <v>13514</v>
      </c>
      <c r="B3525" s="8" t="s">
        <v>13515</v>
      </c>
      <c r="C3525" s="8" t="s">
        <v>5086</v>
      </c>
      <c r="D3525" s="8" t="str">
        <f>"9783658372743"</f>
        <v>9783658372743</v>
      </c>
    </row>
    <row r="3526" spans="1:4" x14ac:dyDescent="0.25">
      <c r="A3526" s="7" t="s">
        <v>444</v>
      </c>
      <c r="B3526" s="8" t="s">
        <v>445</v>
      </c>
      <c r="C3526" s="8" t="s">
        <v>355</v>
      </c>
      <c r="D3526" s="8" t="str">
        <f>"9783110232103"</f>
        <v>9783110232103</v>
      </c>
    </row>
    <row r="3527" spans="1:4" ht="30" x14ac:dyDescent="0.25">
      <c r="A3527" s="7" t="s">
        <v>10313</v>
      </c>
      <c r="B3527" s="8" t="s">
        <v>10314</v>
      </c>
      <c r="C3527" s="8" t="s">
        <v>993</v>
      </c>
      <c r="D3527" s="8" t="str">
        <f>"9783839448793"</f>
        <v>9783839448793</v>
      </c>
    </row>
    <row r="3528" spans="1:4" x14ac:dyDescent="0.25">
      <c r="A3528" s="7" t="s">
        <v>10410</v>
      </c>
      <c r="B3528" s="8" t="s">
        <v>10411</v>
      </c>
      <c r="C3528" s="8" t="s">
        <v>993</v>
      </c>
      <c r="D3528" s="8" t="str">
        <f>"9783839455654"</f>
        <v>9783839455654</v>
      </c>
    </row>
    <row r="3529" spans="1:4" x14ac:dyDescent="0.25">
      <c r="A3529" s="7" t="s">
        <v>7548</v>
      </c>
      <c r="B3529" s="8" t="s">
        <v>7547</v>
      </c>
      <c r="C3529" s="8" t="s">
        <v>993</v>
      </c>
      <c r="D3529" s="8" t="str">
        <f>"9783839412282"</f>
        <v>9783839412282</v>
      </c>
    </row>
    <row r="3530" spans="1:4" ht="30" x14ac:dyDescent="0.25">
      <c r="A3530" s="7" t="s">
        <v>2606</v>
      </c>
      <c r="B3530" s="8" t="s">
        <v>2607</v>
      </c>
      <c r="C3530" s="8" t="s">
        <v>1345</v>
      </c>
      <c r="D3530" s="8" t="str">
        <f>"9783737600934"</f>
        <v>9783737600934</v>
      </c>
    </row>
    <row r="3531" spans="1:4" x14ac:dyDescent="0.25">
      <c r="A3531" s="7" t="s">
        <v>16290</v>
      </c>
      <c r="B3531" s="8" t="s">
        <v>14469</v>
      </c>
      <c r="C3531" s="8" t="s">
        <v>1865</v>
      </c>
      <c r="D3531" s="8" t="str">
        <f>"9789175192697"</f>
        <v>9789175192697</v>
      </c>
    </row>
    <row r="3532" spans="1:4" x14ac:dyDescent="0.25">
      <c r="A3532" s="7" t="s">
        <v>14541</v>
      </c>
      <c r="B3532" s="8" t="s">
        <v>14542</v>
      </c>
      <c r="C3532" s="8" t="s">
        <v>1865</v>
      </c>
      <c r="D3532" s="8" t="str">
        <f>"9789179297466"</f>
        <v>9789179297466</v>
      </c>
    </row>
    <row r="3533" spans="1:4" ht="30" x14ac:dyDescent="0.25">
      <c r="A3533" s="7" t="s">
        <v>14914</v>
      </c>
      <c r="B3533" s="8" t="s">
        <v>14915</v>
      </c>
      <c r="C3533" s="8" t="s">
        <v>1865</v>
      </c>
      <c r="D3533" s="8" t="str">
        <f>"9789175194936"</f>
        <v>9789175194936</v>
      </c>
    </row>
    <row r="3534" spans="1:4" ht="30" x14ac:dyDescent="0.25">
      <c r="A3534" s="7" t="s">
        <v>12418</v>
      </c>
      <c r="B3534" s="8" t="s">
        <v>11949</v>
      </c>
      <c r="C3534" s="8" t="s">
        <v>355</v>
      </c>
      <c r="D3534" s="8" t="str">
        <f>"9783110770773"</f>
        <v>9783110770773</v>
      </c>
    </row>
    <row r="3535" spans="1:4" x14ac:dyDescent="0.25">
      <c r="A3535" s="7" t="s">
        <v>11146</v>
      </c>
      <c r="B3535" s="8" t="s">
        <v>11147</v>
      </c>
      <c r="C3535" s="8" t="s">
        <v>355</v>
      </c>
      <c r="D3535" s="8" t="str">
        <f>"9783486594423"</f>
        <v>9783486594423</v>
      </c>
    </row>
    <row r="3536" spans="1:4" x14ac:dyDescent="0.25">
      <c r="A3536" s="7" t="s">
        <v>4212</v>
      </c>
      <c r="B3536" s="8" t="s">
        <v>2331</v>
      </c>
      <c r="C3536" s="8" t="s">
        <v>1879</v>
      </c>
      <c r="D3536" s="8" t="str">
        <f>"9781783745821"</f>
        <v>9781783745821</v>
      </c>
    </row>
    <row r="3537" spans="1:4" x14ac:dyDescent="0.25">
      <c r="A3537" s="7" t="s">
        <v>4185</v>
      </c>
      <c r="B3537" s="8" t="s">
        <v>4186</v>
      </c>
      <c r="C3537" s="8" t="s">
        <v>2273</v>
      </c>
      <c r="D3537" s="8" t="str">
        <f>"9783319696232"</f>
        <v>9783319696232</v>
      </c>
    </row>
    <row r="3538" spans="1:4" x14ac:dyDescent="0.25">
      <c r="A3538" s="7" t="s">
        <v>8904</v>
      </c>
      <c r="B3538" s="8" t="s">
        <v>8905</v>
      </c>
      <c r="C3538" s="8" t="s">
        <v>4245</v>
      </c>
      <c r="D3538" s="8" t="str">
        <f>"9789813349728"</f>
        <v>9789813349728</v>
      </c>
    </row>
    <row r="3539" spans="1:4" x14ac:dyDescent="0.25">
      <c r="A3539" s="7" t="s">
        <v>4719</v>
      </c>
      <c r="B3539" s="8" t="s">
        <v>4720</v>
      </c>
      <c r="C3539" s="8" t="s">
        <v>1865</v>
      </c>
      <c r="D3539" s="8" t="str">
        <f>"9789179299682"</f>
        <v>9789179299682</v>
      </c>
    </row>
    <row r="3540" spans="1:4" x14ac:dyDescent="0.25">
      <c r="A3540" s="7" t="s">
        <v>15836</v>
      </c>
      <c r="B3540" s="8" t="s">
        <v>15837</v>
      </c>
      <c r="C3540" s="8" t="s">
        <v>1865</v>
      </c>
      <c r="D3540" s="8" t="str">
        <f>"9789175196152"</f>
        <v>9789175196152</v>
      </c>
    </row>
    <row r="3541" spans="1:4" ht="30" x14ac:dyDescent="0.25">
      <c r="A3541" s="7" t="s">
        <v>5172</v>
      </c>
      <c r="B3541" s="8" t="s">
        <v>72</v>
      </c>
      <c r="C3541" s="8" t="s">
        <v>2273</v>
      </c>
      <c r="D3541" s="8" t="str">
        <f>"9783030581473"</f>
        <v>9783030581473</v>
      </c>
    </row>
    <row r="3542" spans="1:4" ht="45" x14ac:dyDescent="0.25">
      <c r="A3542" s="7" t="s">
        <v>11008</v>
      </c>
      <c r="B3542" s="8" t="s">
        <v>11009</v>
      </c>
      <c r="C3542" s="8" t="s">
        <v>2273</v>
      </c>
      <c r="D3542" s="8" t="str">
        <f>"9783031062490"</f>
        <v>9783031062490</v>
      </c>
    </row>
    <row r="3543" spans="1:4" x14ac:dyDescent="0.25">
      <c r="A3543" s="7" t="s">
        <v>13700</v>
      </c>
      <c r="B3543" s="8" t="s">
        <v>13693</v>
      </c>
      <c r="C3543" s="8" t="s">
        <v>993</v>
      </c>
      <c r="D3543" s="8" t="str">
        <f>"9783839461099"</f>
        <v>9783839461099</v>
      </c>
    </row>
    <row r="3544" spans="1:4" ht="30" x14ac:dyDescent="0.25">
      <c r="A3544" s="7" t="s">
        <v>14564</v>
      </c>
      <c r="B3544" s="8" t="s">
        <v>14565</v>
      </c>
      <c r="C3544" s="8" t="s">
        <v>1865</v>
      </c>
      <c r="D3544" s="8" t="str">
        <f>"9789179291839"</f>
        <v>9789179291839</v>
      </c>
    </row>
    <row r="3545" spans="1:4" ht="30" x14ac:dyDescent="0.25">
      <c r="A3545" s="7" t="s">
        <v>2406</v>
      </c>
      <c r="B3545" s="8" t="s">
        <v>2407</v>
      </c>
      <c r="C3545" s="8" t="s">
        <v>1865</v>
      </c>
      <c r="D3545" s="8" t="str">
        <f>"9789175190402"</f>
        <v>9789175190402</v>
      </c>
    </row>
    <row r="3546" spans="1:4" x14ac:dyDescent="0.25">
      <c r="A3546" s="7" t="s">
        <v>1427</v>
      </c>
      <c r="B3546" s="8" t="s">
        <v>1428</v>
      </c>
      <c r="C3546" s="8" t="s">
        <v>1345</v>
      </c>
      <c r="D3546" s="8" t="str">
        <f>"9783862190058"</f>
        <v>9783862190058</v>
      </c>
    </row>
    <row r="3547" spans="1:4" ht="30" x14ac:dyDescent="0.25">
      <c r="A3547" s="7" t="s">
        <v>1553</v>
      </c>
      <c r="B3547" s="8" t="s">
        <v>1554</v>
      </c>
      <c r="C3547" s="8" t="s">
        <v>1345</v>
      </c>
      <c r="D3547" s="8" t="str">
        <f>"9783862192670"</f>
        <v>9783862192670</v>
      </c>
    </row>
    <row r="3548" spans="1:4" x14ac:dyDescent="0.25">
      <c r="A3548" s="7" t="s">
        <v>11647</v>
      </c>
      <c r="B3548" s="8" t="s">
        <v>11648</v>
      </c>
      <c r="C3548" s="8" t="s">
        <v>355</v>
      </c>
      <c r="D3548" s="8" t="str">
        <f>"9783486594379"</f>
        <v>9783486594379</v>
      </c>
    </row>
    <row r="3549" spans="1:4" x14ac:dyDescent="0.25">
      <c r="A3549" s="7" t="s">
        <v>12098</v>
      </c>
      <c r="B3549" s="8" t="s">
        <v>12047</v>
      </c>
      <c r="C3549" s="8" t="s">
        <v>355</v>
      </c>
      <c r="D3549" s="8" t="str">
        <f>"9783110719130"</f>
        <v>9783110719130</v>
      </c>
    </row>
    <row r="3550" spans="1:4" x14ac:dyDescent="0.25">
      <c r="A3550" s="7" t="s">
        <v>12101</v>
      </c>
      <c r="B3550" s="8" t="s">
        <v>12047</v>
      </c>
      <c r="C3550" s="8" t="s">
        <v>355</v>
      </c>
      <c r="D3550" s="8" t="str">
        <f>"9783110719147"</f>
        <v>9783110719147</v>
      </c>
    </row>
    <row r="3551" spans="1:4" x14ac:dyDescent="0.25">
      <c r="A3551" s="7" t="s">
        <v>5274</v>
      </c>
      <c r="B3551" s="8" t="s">
        <v>5275</v>
      </c>
      <c r="C3551" s="8" t="s">
        <v>2273</v>
      </c>
      <c r="D3551" s="8" t="str">
        <f>"9783319446219"</f>
        <v>9783319446219</v>
      </c>
    </row>
    <row r="3552" spans="1:4" x14ac:dyDescent="0.25">
      <c r="A3552" s="7" t="s">
        <v>1579</v>
      </c>
      <c r="B3552" s="8" t="s">
        <v>1580</v>
      </c>
      <c r="C3552" s="8" t="s">
        <v>1345</v>
      </c>
      <c r="D3552" s="8" t="str">
        <f>"9783862193318"</f>
        <v>9783862193318</v>
      </c>
    </row>
    <row r="3553" spans="1:4" ht="30" x14ac:dyDescent="0.25">
      <c r="A3553" s="7" t="s">
        <v>13170</v>
      </c>
      <c r="B3553" s="8" t="s">
        <v>13072</v>
      </c>
      <c r="C3553" s="8" t="s">
        <v>12712</v>
      </c>
      <c r="D3553" s="8" t="str">
        <f>"9783428573332"</f>
        <v>9783428573332</v>
      </c>
    </row>
    <row r="3554" spans="1:4" ht="30" x14ac:dyDescent="0.25">
      <c r="A3554" s="7" t="s">
        <v>13169</v>
      </c>
      <c r="B3554" s="8" t="s">
        <v>13072</v>
      </c>
      <c r="C3554" s="8" t="s">
        <v>12712</v>
      </c>
      <c r="D3554" s="8" t="str">
        <f>"9783428573318"</f>
        <v>9783428573318</v>
      </c>
    </row>
    <row r="3555" spans="1:4" ht="30" x14ac:dyDescent="0.25">
      <c r="A3555" s="7" t="s">
        <v>13172</v>
      </c>
      <c r="B3555" s="8" t="s">
        <v>13072</v>
      </c>
      <c r="C3555" s="8" t="s">
        <v>12712</v>
      </c>
      <c r="D3555" s="8" t="str">
        <f>"9783428573349"</f>
        <v>9783428573349</v>
      </c>
    </row>
    <row r="3556" spans="1:4" ht="30" x14ac:dyDescent="0.25">
      <c r="A3556" s="7" t="s">
        <v>13171</v>
      </c>
      <c r="B3556" s="8" t="s">
        <v>13072</v>
      </c>
      <c r="C3556" s="8" t="s">
        <v>12712</v>
      </c>
      <c r="D3556" s="8" t="str">
        <f>"9783428573325"</f>
        <v>9783428573325</v>
      </c>
    </row>
    <row r="3557" spans="1:4" x14ac:dyDescent="0.25">
      <c r="A3557" s="7" t="s">
        <v>11474</v>
      </c>
      <c r="B3557" s="8" t="s">
        <v>11475</v>
      </c>
      <c r="C3557" s="8" t="s">
        <v>355</v>
      </c>
      <c r="D3557" s="8" t="str">
        <f>"9783111596372"</f>
        <v>9783111596372</v>
      </c>
    </row>
    <row r="3558" spans="1:4" ht="30" x14ac:dyDescent="0.25">
      <c r="A3558" s="7" t="s">
        <v>9814</v>
      </c>
      <c r="B3558" s="8" t="s">
        <v>9815</v>
      </c>
      <c r="C3558" s="8" t="s">
        <v>993</v>
      </c>
      <c r="D3558" s="8" t="str">
        <f>"9783839405130"</f>
        <v>9783839405130</v>
      </c>
    </row>
    <row r="3559" spans="1:4" x14ac:dyDescent="0.25">
      <c r="A3559" s="7" t="s">
        <v>14117</v>
      </c>
      <c r="B3559" s="8" t="s">
        <v>14118</v>
      </c>
      <c r="C3559" s="8" t="s">
        <v>355</v>
      </c>
      <c r="D3559" s="8" t="str">
        <f>"9783111014845"</f>
        <v>9783111014845</v>
      </c>
    </row>
    <row r="3560" spans="1:4" x14ac:dyDescent="0.25">
      <c r="A3560" s="7" t="s">
        <v>4159</v>
      </c>
      <c r="B3560" s="8" t="s">
        <v>4160</v>
      </c>
      <c r="C3560" s="8" t="s">
        <v>1865</v>
      </c>
      <c r="D3560" s="8" t="str">
        <f>"9789176851777"</f>
        <v>9789176851777</v>
      </c>
    </row>
    <row r="3561" spans="1:4" ht="30" x14ac:dyDescent="0.25">
      <c r="A3561" s="7" t="s">
        <v>7028</v>
      </c>
      <c r="B3561" s="8" t="s">
        <v>542</v>
      </c>
      <c r="C3561" s="8" t="s">
        <v>355</v>
      </c>
      <c r="D3561" s="8" t="str">
        <f>"9783110617245"</f>
        <v>9783110617245</v>
      </c>
    </row>
    <row r="3562" spans="1:4" x14ac:dyDescent="0.25">
      <c r="A3562" s="7" t="s">
        <v>9606</v>
      </c>
      <c r="B3562" s="8" t="s">
        <v>9607</v>
      </c>
      <c r="C3562" s="8" t="s">
        <v>9476</v>
      </c>
      <c r="D3562" s="8" t="str">
        <f>"9781580467414"</f>
        <v>9781580467414</v>
      </c>
    </row>
    <row r="3563" spans="1:4" x14ac:dyDescent="0.25">
      <c r="A3563" s="7" t="s">
        <v>14108</v>
      </c>
      <c r="B3563" s="8" t="s">
        <v>14109</v>
      </c>
      <c r="C3563" s="8" t="s">
        <v>993</v>
      </c>
      <c r="D3563" s="8" t="str">
        <f>"9783839466933"</f>
        <v>9783839466933</v>
      </c>
    </row>
    <row r="3564" spans="1:4" x14ac:dyDescent="0.25">
      <c r="A3564" s="7" t="s">
        <v>16210</v>
      </c>
      <c r="B3564" s="8" t="s">
        <v>15776</v>
      </c>
      <c r="C3564" s="8" t="s">
        <v>1865</v>
      </c>
      <c r="D3564" s="8" t="str">
        <f>"9789176858073"</f>
        <v>9789176858073</v>
      </c>
    </row>
    <row r="3565" spans="1:4" ht="30" x14ac:dyDescent="0.25">
      <c r="A3565" s="7" t="s">
        <v>14410</v>
      </c>
      <c r="B3565" s="8" t="s">
        <v>14411</v>
      </c>
      <c r="C3565" s="8" t="s">
        <v>1865</v>
      </c>
      <c r="D3565" s="8" t="str">
        <f>"9789179294632"</f>
        <v>9789179294632</v>
      </c>
    </row>
    <row r="3566" spans="1:4" x14ac:dyDescent="0.25">
      <c r="A3566" s="7" t="s">
        <v>11028</v>
      </c>
      <c r="B3566" s="8" t="s">
        <v>11029</v>
      </c>
      <c r="C3566" s="8" t="s">
        <v>2273</v>
      </c>
      <c r="D3566" s="8" t="str">
        <f>"9783030951009"</f>
        <v>9783030951009</v>
      </c>
    </row>
    <row r="3567" spans="1:4" x14ac:dyDescent="0.25">
      <c r="A3567" s="7" t="s">
        <v>9626</v>
      </c>
      <c r="B3567" s="8" t="s">
        <v>7900</v>
      </c>
      <c r="C3567" s="8" t="s">
        <v>4245</v>
      </c>
      <c r="D3567" s="8" t="str">
        <f>"9789811673856"</f>
        <v>9789811673856</v>
      </c>
    </row>
    <row r="3568" spans="1:4" x14ac:dyDescent="0.25">
      <c r="A3568" s="7" t="s">
        <v>15196</v>
      </c>
      <c r="B3568" s="8" t="s">
        <v>15197</v>
      </c>
      <c r="C3568" s="8" t="s">
        <v>1865</v>
      </c>
      <c r="D3568" s="8" t="str">
        <f>"9789175199641"</f>
        <v>9789175199641</v>
      </c>
    </row>
    <row r="3569" spans="1:4" x14ac:dyDescent="0.25">
      <c r="A3569" s="7" t="s">
        <v>14920</v>
      </c>
      <c r="B3569" s="8" t="s">
        <v>14921</v>
      </c>
      <c r="C3569" s="8" t="s">
        <v>1865</v>
      </c>
      <c r="D3569" s="8" t="str">
        <f>"9789175193519"</f>
        <v>9789175193519</v>
      </c>
    </row>
    <row r="3570" spans="1:4" ht="30" x14ac:dyDescent="0.25">
      <c r="A3570" s="7" t="s">
        <v>3297</v>
      </c>
      <c r="B3570" s="8" t="s">
        <v>3298</v>
      </c>
      <c r="C3570" s="8" t="s">
        <v>1865</v>
      </c>
      <c r="D3570" s="8" t="str">
        <f>"9789176854914"</f>
        <v>9789176854914</v>
      </c>
    </row>
    <row r="3571" spans="1:4" x14ac:dyDescent="0.25">
      <c r="A3571" s="7" t="s">
        <v>3934</v>
      </c>
      <c r="B3571" s="8" t="s">
        <v>3935</v>
      </c>
      <c r="C3571" s="8" t="s">
        <v>355</v>
      </c>
      <c r="D3571" s="8" t="str">
        <f>"9783110539592"</f>
        <v>9783110539592</v>
      </c>
    </row>
    <row r="3572" spans="1:4" x14ac:dyDescent="0.25">
      <c r="A3572" s="7" t="s">
        <v>6583</v>
      </c>
      <c r="B3572" s="8" t="s">
        <v>6584</v>
      </c>
      <c r="C3572" s="8" t="s">
        <v>2273</v>
      </c>
      <c r="D3572" s="8" t="str">
        <f>"9783030631352"</f>
        <v>9783030631352</v>
      </c>
    </row>
    <row r="3573" spans="1:4" x14ac:dyDescent="0.25">
      <c r="A3573" s="7" t="s">
        <v>5175</v>
      </c>
      <c r="B3573" s="8" t="s">
        <v>5176</v>
      </c>
      <c r="C3573" s="8" t="s">
        <v>1865</v>
      </c>
      <c r="D3573" s="8" t="str">
        <f>"9789179298340"</f>
        <v>9789179298340</v>
      </c>
    </row>
    <row r="3574" spans="1:4" x14ac:dyDescent="0.25">
      <c r="A3574" s="7" t="s">
        <v>4972</v>
      </c>
      <c r="B3574" s="8" t="s">
        <v>4973</v>
      </c>
      <c r="C3574" s="8" t="s">
        <v>1865</v>
      </c>
      <c r="D3574" s="8" t="str">
        <f>"9789179298593"</f>
        <v>9789179298593</v>
      </c>
    </row>
    <row r="3575" spans="1:4" ht="30" x14ac:dyDescent="0.25">
      <c r="A3575" s="7" t="s">
        <v>4463</v>
      </c>
      <c r="B3575" s="8" t="s">
        <v>4464</v>
      </c>
      <c r="C3575" s="8" t="s">
        <v>1865</v>
      </c>
      <c r="D3575" s="8" t="str">
        <f>"9789176850770"</f>
        <v>9789176850770</v>
      </c>
    </row>
    <row r="3576" spans="1:4" x14ac:dyDescent="0.25">
      <c r="A3576" s="7" t="s">
        <v>7442</v>
      </c>
      <c r="B3576" s="8" t="s">
        <v>7443</v>
      </c>
      <c r="C3576" s="8" t="s">
        <v>993</v>
      </c>
      <c r="D3576" s="8" t="str">
        <f>"9783839440544"</f>
        <v>9783839440544</v>
      </c>
    </row>
    <row r="3577" spans="1:4" ht="30" x14ac:dyDescent="0.25">
      <c r="A3577" s="7" t="s">
        <v>3118</v>
      </c>
      <c r="B3577" s="8" t="s">
        <v>3119</v>
      </c>
      <c r="C3577" s="8" t="s">
        <v>1865</v>
      </c>
      <c r="D3577" s="8" t="str">
        <f>"9789176855478"</f>
        <v>9789176855478</v>
      </c>
    </row>
    <row r="3578" spans="1:4" x14ac:dyDescent="0.25">
      <c r="A3578" s="7" t="s">
        <v>6192</v>
      </c>
      <c r="B3578" s="8" t="s">
        <v>6193</v>
      </c>
      <c r="C3578" s="8" t="s">
        <v>2273</v>
      </c>
      <c r="D3578" s="8" t="str">
        <f>"9783319483665"</f>
        <v>9783319483665</v>
      </c>
    </row>
    <row r="3579" spans="1:4" x14ac:dyDescent="0.25">
      <c r="A3579" s="7" t="s">
        <v>4848</v>
      </c>
      <c r="B3579" s="8" t="s">
        <v>4849</v>
      </c>
      <c r="C3579" s="8" t="s">
        <v>1865</v>
      </c>
      <c r="D3579" s="8" t="str">
        <f>"9789179299439"</f>
        <v>9789179299439</v>
      </c>
    </row>
    <row r="3580" spans="1:4" x14ac:dyDescent="0.25">
      <c r="A3580" s="7" t="s">
        <v>15168</v>
      </c>
      <c r="B3580" s="8" t="s">
        <v>15169</v>
      </c>
      <c r="C3580" s="8" t="s">
        <v>1865</v>
      </c>
      <c r="D3580" s="8" t="str">
        <f>"9789175196701"</f>
        <v>9789175196701</v>
      </c>
    </row>
    <row r="3581" spans="1:4" x14ac:dyDescent="0.25">
      <c r="A3581" s="7" t="s">
        <v>16253</v>
      </c>
      <c r="B3581" s="8" t="s">
        <v>16254</v>
      </c>
      <c r="C3581" s="8" t="s">
        <v>1865</v>
      </c>
      <c r="D3581" s="8" t="str">
        <f>"9789176858691"</f>
        <v>9789176858691</v>
      </c>
    </row>
    <row r="3582" spans="1:4" x14ac:dyDescent="0.25">
      <c r="A3582" s="7" t="s">
        <v>8277</v>
      </c>
      <c r="B3582" s="8" t="s">
        <v>8278</v>
      </c>
      <c r="C3582" s="8" t="s">
        <v>993</v>
      </c>
      <c r="D3582" s="8" t="str">
        <f>"9783839453162"</f>
        <v>9783839453162</v>
      </c>
    </row>
    <row r="3583" spans="1:4" ht="30" x14ac:dyDescent="0.25">
      <c r="A3583" s="7" t="s">
        <v>7604</v>
      </c>
      <c r="B3583" s="8" t="s">
        <v>7605</v>
      </c>
      <c r="C3583" s="8" t="s">
        <v>993</v>
      </c>
      <c r="D3583" s="8" t="str">
        <f>"9783839421055"</f>
        <v>9783839421055</v>
      </c>
    </row>
    <row r="3584" spans="1:4" ht="30" x14ac:dyDescent="0.25">
      <c r="A3584" s="7" t="s">
        <v>7135</v>
      </c>
      <c r="B3584" s="8" t="s">
        <v>7136</v>
      </c>
      <c r="C3584" s="8" t="s">
        <v>355</v>
      </c>
      <c r="D3584" s="8" t="str">
        <f>"9783110664720"</f>
        <v>9783110664720</v>
      </c>
    </row>
    <row r="3585" spans="1:4" ht="30" x14ac:dyDescent="0.25">
      <c r="A3585" s="7" t="s">
        <v>12281</v>
      </c>
      <c r="B3585" s="8" t="s">
        <v>12282</v>
      </c>
      <c r="C3585" s="8" t="s">
        <v>993</v>
      </c>
      <c r="D3585" s="8" t="str">
        <f>"9783839458501"</f>
        <v>9783839458501</v>
      </c>
    </row>
    <row r="3586" spans="1:4" x14ac:dyDescent="0.25">
      <c r="A3586" s="7" t="s">
        <v>7612</v>
      </c>
      <c r="B3586" s="8" t="s">
        <v>7613</v>
      </c>
      <c r="C3586" s="8" t="s">
        <v>993</v>
      </c>
      <c r="D3586" s="8" t="str">
        <f>"9783839422199"</f>
        <v>9783839422199</v>
      </c>
    </row>
    <row r="3587" spans="1:4" x14ac:dyDescent="0.25">
      <c r="A3587" s="7" t="s">
        <v>10408</v>
      </c>
      <c r="B3587" s="8" t="s">
        <v>10409</v>
      </c>
      <c r="C3587" s="8" t="s">
        <v>993</v>
      </c>
      <c r="D3587" s="8" t="str">
        <f>"9783839455630"</f>
        <v>9783839455630</v>
      </c>
    </row>
    <row r="3588" spans="1:4" ht="30" x14ac:dyDescent="0.25">
      <c r="A3588" s="7" t="s">
        <v>468</v>
      </c>
      <c r="B3588" s="8" t="s">
        <v>469</v>
      </c>
      <c r="C3588" s="8" t="s">
        <v>316</v>
      </c>
      <c r="D3588" s="8" t="str">
        <f>"9783110248852"</f>
        <v>9783110248852</v>
      </c>
    </row>
    <row r="3589" spans="1:4" x14ac:dyDescent="0.25">
      <c r="A3589" s="7" t="s">
        <v>11655</v>
      </c>
      <c r="B3589" s="8" t="s">
        <v>11656</v>
      </c>
      <c r="C3589" s="8" t="s">
        <v>355</v>
      </c>
      <c r="D3589" s="8" t="str">
        <f>"9783486726220"</f>
        <v>9783486726220</v>
      </c>
    </row>
    <row r="3590" spans="1:4" x14ac:dyDescent="0.25">
      <c r="A3590" s="7" t="s">
        <v>12257</v>
      </c>
      <c r="B3590" s="8" t="s">
        <v>12258</v>
      </c>
      <c r="C3590" s="8" t="s">
        <v>993</v>
      </c>
      <c r="D3590" s="8" t="str">
        <f>"9783839454992"</f>
        <v>9783839454992</v>
      </c>
    </row>
    <row r="3591" spans="1:4" ht="30" x14ac:dyDescent="0.25">
      <c r="A3591" s="7" t="s">
        <v>14981</v>
      </c>
      <c r="B3591" s="8" t="s">
        <v>14982</v>
      </c>
      <c r="C3591" s="8" t="s">
        <v>1865</v>
      </c>
      <c r="D3591" s="8" t="str">
        <f>"9789185831524"</f>
        <v>9789185831524</v>
      </c>
    </row>
    <row r="3592" spans="1:4" ht="30" x14ac:dyDescent="0.25">
      <c r="A3592" s="7" t="s">
        <v>3636</v>
      </c>
      <c r="B3592" s="8" t="s">
        <v>3637</v>
      </c>
      <c r="C3592" s="8" t="s">
        <v>1865</v>
      </c>
      <c r="D3592" s="8" t="str">
        <f>"9789176853559"</f>
        <v>9789176853559</v>
      </c>
    </row>
    <row r="3593" spans="1:4" x14ac:dyDescent="0.25">
      <c r="A3593" s="7" t="s">
        <v>1932</v>
      </c>
      <c r="B3593" s="8" t="s">
        <v>1933</v>
      </c>
      <c r="C3593" s="8" t="s">
        <v>1879</v>
      </c>
      <c r="D3593" s="8" t="str">
        <f>"9781906924386"</f>
        <v>9781906924386</v>
      </c>
    </row>
    <row r="3594" spans="1:4" x14ac:dyDescent="0.25">
      <c r="A3594" s="7" t="s">
        <v>13451</v>
      </c>
      <c r="B3594" s="8" t="s">
        <v>13452</v>
      </c>
      <c r="C3594" s="8" t="s">
        <v>2273</v>
      </c>
      <c r="D3594" s="8" t="str">
        <f>"9783031093715"</f>
        <v>9783031093715</v>
      </c>
    </row>
    <row r="3595" spans="1:4" x14ac:dyDescent="0.25">
      <c r="A3595" s="7" t="s">
        <v>4764</v>
      </c>
      <c r="B3595" s="8" t="s">
        <v>4765</v>
      </c>
      <c r="C3595" s="8" t="s">
        <v>1865</v>
      </c>
      <c r="D3595" s="8" t="str">
        <f>"9789179299484"</f>
        <v>9789179299484</v>
      </c>
    </row>
    <row r="3596" spans="1:4" ht="30" x14ac:dyDescent="0.25">
      <c r="A3596" s="7" t="s">
        <v>11253</v>
      </c>
      <c r="B3596" s="8" t="s">
        <v>11254</v>
      </c>
      <c r="C3596" s="8" t="s">
        <v>355</v>
      </c>
      <c r="D3596" s="8" t="str">
        <f>"9783110711356"</f>
        <v>9783110711356</v>
      </c>
    </row>
    <row r="3597" spans="1:4" x14ac:dyDescent="0.25">
      <c r="A3597" s="7" t="s">
        <v>1577</v>
      </c>
      <c r="B3597" s="8" t="s">
        <v>1578</v>
      </c>
      <c r="C3597" s="8" t="s">
        <v>1345</v>
      </c>
      <c r="D3597" s="8" t="str">
        <f>"9783862193738"</f>
        <v>9783862193738</v>
      </c>
    </row>
    <row r="3598" spans="1:4" x14ac:dyDescent="0.25">
      <c r="A3598" s="7" t="s">
        <v>3361</v>
      </c>
      <c r="B3598" s="8" t="s">
        <v>3362</v>
      </c>
      <c r="C3598" s="8" t="s">
        <v>1865</v>
      </c>
      <c r="D3598" s="8" t="str">
        <f>"9789176854303"</f>
        <v>9789176854303</v>
      </c>
    </row>
    <row r="3599" spans="1:4" ht="30" x14ac:dyDescent="0.25">
      <c r="A3599" s="7" t="s">
        <v>10928</v>
      </c>
      <c r="B3599" s="8" t="s">
        <v>10929</v>
      </c>
      <c r="C3599" s="8" t="s">
        <v>355</v>
      </c>
      <c r="D3599" s="8" t="str">
        <f>"9783110546231"</f>
        <v>9783110546231</v>
      </c>
    </row>
    <row r="3600" spans="1:4" ht="30" x14ac:dyDescent="0.25">
      <c r="A3600" s="7" t="s">
        <v>2643</v>
      </c>
      <c r="B3600" s="8" t="s">
        <v>1660</v>
      </c>
      <c r="C3600" s="8" t="s">
        <v>1345</v>
      </c>
      <c r="D3600" s="8" t="str">
        <f>"9783862198733"</f>
        <v>9783862198733</v>
      </c>
    </row>
    <row r="3601" spans="1:4" x14ac:dyDescent="0.25">
      <c r="A3601" s="7" t="s">
        <v>4976</v>
      </c>
      <c r="B3601" s="8" t="s">
        <v>4977</v>
      </c>
      <c r="C3601" s="8" t="s">
        <v>1865</v>
      </c>
      <c r="D3601" s="8" t="str">
        <f>"9789179298876"</f>
        <v>9789179298876</v>
      </c>
    </row>
    <row r="3602" spans="1:4" x14ac:dyDescent="0.25">
      <c r="A3602" s="7" t="s">
        <v>6219</v>
      </c>
      <c r="B3602" s="8" t="s">
        <v>6220</v>
      </c>
      <c r="C3602" s="8" t="s">
        <v>2273</v>
      </c>
      <c r="D3602" s="8" t="str">
        <f>"9783319096650"</f>
        <v>9783319096650</v>
      </c>
    </row>
    <row r="3603" spans="1:4" ht="30" x14ac:dyDescent="0.25">
      <c r="A3603" s="7" t="s">
        <v>5471</v>
      </c>
      <c r="B3603" s="8" t="s">
        <v>5472</v>
      </c>
      <c r="C3603" s="8" t="s">
        <v>5064</v>
      </c>
      <c r="D3603" s="8" t="str">
        <f>"9789814675475"</f>
        <v>9789814675475</v>
      </c>
    </row>
    <row r="3604" spans="1:4" x14ac:dyDescent="0.25">
      <c r="A3604" s="7" t="s">
        <v>5315</v>
      </c>
      <c r="B3604" s="8" t="s">
        <v>5316</v>
      </c>
      <c r="C3604" s="8" t="s">
        <v>2273</v>
      </c>
      <c r="D3604" s="8" t="str">
        <f>"9783319559827"</f>
        <v>9783319559827</v>
      </c>
    </row>
    <row r="3605" spans="1:4" ht="30" x14ac:dyDescent="0.25">
      <c r="A3605" s="7" t="s">
        <v>3269</v>
      </c>
      <c r="B3605" s="8" t="s">
        <v>3270</v>
      </c>
      <c r="C3605" s="8" t="s">
        <v>1865</v>
      </c>
      <c r="D3605" s="8" t="str">
        <f>"9789176854525"</f>
        <v>9789176854525</v>
      </c>
    </row>
    <row r="3606" spans="1:4" x14ac:dyDescent="0.25">
      <c r="A3606" s="7" t="s">
        <v>15610</v>
      </c>
      <c r="B3606" s="8" t="s">
        <v>15611</v>
      </c>
      <c r="C3606" s="8" t="s">
        <v>1865</v>
      </c>
      <c r="D3606" s="8" t="str">
        <f>"9789176858370"</f>
        <v>9789176858370</v>
      </c>
    </row>
    <row r="3607" spans="1:4" x14ac:dyDescent="0.25">
      <c r="A3607" s="7" t="s">
        <v>15284</v>
      </c>
      <c r="B3607" s="8" t="s">
        <v>15285</v>
      </c>
      <c r="C3607" s="8" t="s">
        <v>1865</v>
      </c>
      <c r="D3607" s="8" t="str">
        <f>"9789175198637"</f>
        <v>9789175198637</v>
      </c>
    </row>
    <row r="3608" spans="1:4" ht="30" x14ac:dyDescent="0.25">
      <c r="A3608" s="7" t="s">
        <v>1411</v>
      </c>
      <c r="B3608" s="8" t="s">
        <v>1412</v>
      </c>
      <c r="C3608" s="8" t="s">
        <v>1345</v>
      </c>
      <c r="D3608" s="8" t="str">
        <f>"9783862191130"</f>
        <v>9783862191130</v>
      </c>
    </row>
    <row r="3609" spans="1:4" x14ac:dyDescent="0.25">
      <c r="A3609" s="7" t="s">
        <v>15693</v>
      </c>
      <c r="B3609" s="8" t="s">
        <v>15694</v>
      </c>
      <c r="C3609" s="8" t="s">
        <v>1865</v>
      </c>
      <c r="D3609" s="8" t="str">
        <f>"9789175199566"</f>
        <v>9789175199566</v>
      </c>
    </row>
    <row r="3610" spans="1:4" ht="30" x14ac:dyDescent="0.25">
      <c r="A3610" s="7" t="s">
        <v>6945</v>
      </c>
      <c r="B3610" s="8" t="s">
        <v>6946</v>
      </c>
      <c r="C3610" s="8" t="s">
        <v>1865</v>
      </c>
      <c r="D3610" s="8" t="str">
        <f>"9789179296667"</f>
        <v>9789179296667</v>
      </c>
    </row>
    <row r="3611" spans="1:4" ht="30" x14ac:dyDescent="0.25">
      <c r="A3611" s="7" t="s">
        <v>2414</v>
      </c>
      <c r="B3611" s="8" t="s">
        <v>2415</v>
      </c>
      <c r="C3611" s="8" t="s">
        <v>1865</v>
      </c>
      <c r="D3611" s="8" t="str">
        <f>"9789175190341"</f>
        <v>9789175190341</v>
      </c>
    </row>
    <row r="3612" spans="1:4" x14ac:dyDescent="0.25">
      <c r="A3612" s="7" t="s">
        <v>15808</v>
      </c>
      <c r="B3612" s="8" t="s">
        <v>15809</v>
      </c>
      <c r="C3612" s="8" t="s">
        <v>1865</v>
      </c>
      <c r="D3612" s="8" t="str">
        <f>"9789175197500"</f>
        <v>9789175197500</v>
      </c>
    </row>
    <row r="3613" spans="1:4" ht="30" x14ac:dyDescent="0.25">
      <c r="A3613" s="7" t="s">
        <v>3472</v>
      </c>
      <c r="B3613" s="8" t="s">
        <v>3473</v>
      </c>
      <c r="C3613" s="8" t="s">
        <v>1865</v>
      </c>
      <c r="D3613" s="8" t="str">
        <f>"9789176853887"</f>
        <v>9789176853887</v>
      </c>
    </row>
    <row r="3614" spans="1:4" x14ac:dyDescent="0.25">
      <c r="A3614" s="7" t="s">
        <v>12646</v>
      </c>
      <c r="B3614" s="8" t="s">
        <v>12647</v>
      </c>
      <c r="C3614" s="8" t="s">
        <v>2274</v>
      </c>
      <c r="D3614" s="8" t="str">
        <f>"9789811951787"</f>
        <v>9789811951787</v>
      </c>
    </row>
    <row r="3615" spans="1:4" x14ac:dyDescent="0.25">
      <c r="A3615" s="7" t="s">
        <v>9489</v>
      </c>
      <c r="B3615" s="8" t="s">
        <v>5279</v>
      </c>
      <c r="C3615" s="8" t="s">
        <v>2273</v>
      </c>
      <c r="D3615" s="8" t="str">
        <f>"9783030944964"</f>
        <v>9783030944964</v>
      </c>
    </row>
    <row r="3616" spans="1:4" ht="30" x14ac:dyDescent="0.25">
      <c r="A3616" s="7" t="s">
        <v>5278</v>
      </c>
      <c r="B3616" s="8" t="s">
        <v>5279</v>
      </c>
      <c r="C3616" s="8" t="s">
        <v>2273</v>
      </c>
      <c r="D3616" s="8" t="str">
        <f>"9783319080543"</f>
        <v>9783319080543</v>
      </c>
    </row>
    <row r="3617" spans="1:4" ht="30" x14ac:dyDescent="0.25">
      <c r="A3617" s="7" t="s">
        <v>15183</v>
      </c>
      <c r="B3617" s="8" t="s">
        <v>15184</v>
      </c>
      <c r="C3617" s="8" t="s">
        <v>1865</v>
      </c>
      <c r="D3617" s="8" t="str">
        <f>"9789176855959"</f>
        <v>9789176855959</v>
      </c>
    </row>
    <row r="3618" spans="1:4" x14ac:dyDescent="0.25">
      <c r="A3618" s="7" t="s">
        <v>9622</v>
      </c>
      <c r="B3618" s="8" t="s">
        <v>9623</v>
      </c>
      <c r="C3618" s="8" t="s">
        <v>1865</v>
      </c>
      <c r="D3618" s="8" t="str">
        <f>"9789179292577"</f>
        <v>9789179292577</v>
      </c>
    </row>
    <row r="3619" spans="1:4" ht="30" x14ac:dyDescent="0.25">
      <c r="A3619" s="7" t="s">
        <v>12495</v>
      </c>
      <c r="B3619" s="8" t="s">
        <v>12496</v>
      </c>
      <c r="C3619" s="8" t="s">
        <v>2273</v>
      </c>
      <c r="D3619" s="8" t="str">
        <f>"9783031041082"</f>
        <v>9783031041082</v>
      </c>
    </row>
    <row r="3620" spans="1:4" x14ac:dyDescent="0.25">
      <c r="A3620" s="7" t="s">
        <v>5209</v>
      </c>
      <c r="B3620" s="8" t="s">
        <v>5210</v>
      </c>
      <c r="C3620" s="8" t="s">
        <v>1865</v>
      </c>
      <c r="D3620" s="8" t="str">
        <f>"9789179298135"</f>
        <v>9789179298135</v>
      </c>
    </row>
    <row r="3621" spans="1:4" x14ac:dyDescent="0.25">
      <c r="A3621" s="7" t="s">
        <v>15386</v>
      </c>
      <c r="B3621" s="8" t="s">
        <v>15387</v>
      </c>
      <c r="C3621" s="8" t="s">
        <v>1865</v>
      </c>
      <c r="D3621" s="8" t="str">
        <f>"9789176859940"</f>
        <v>9789176859940</v>
      </c>
    </row>
    <row r="3622" spans="1:4" ht="30" x14ac:dyDescent="0.25">
      <c r="A3622" s="7" t="s">
        <v>14978</v>
      </c>
      <c r="B3622" s="8" t="s">
        <v>2515</v>
      </c>
      <c r="C3622" s="8" t="s">
        <v>1865</v>
      </c>
      <c r="D3622" s="8" t="str">
        <f>"9789175195124"</f>
        <v>9789175195124</v>
      </c>
    </row>
    <row r="3623" spans="1:4" ht="30" x14ac:dyDescent="0.25">
      <c r="A3623" s="7" t="s">
        <v>15258</v>
      </c>
      <c r="B3623" s="8" t="s">
        <v>6946</v>
      </c>
      <c r="C3623" s="8" t="s">
        <v>1865</v>
      </c>
      <c r="D3623" s="8" t="str">
        <f>"9789176851746"</f>
        <v>9789176851746</v>
      </c>
    </row>
    <row r="3624" spans="1:4" ht="30" x14ac:dyDescent="0.25">
      <c r="A3624" s="7" t="s">
        <v>14655</v>
      </c>
      <c r="B3624" s="8" t="s">
        <v>14656</v>
      </c>
      <c r="C3624" s="8" t="s">
        <v>1865</v>
      </c>
      <c r="D3624" s="8" t="str">
        <f>"9789179296964"</f>
        <v>9789179296964</v>
      </c>
    </row>
    <row r="3625" spans="1:4" x14ac:dyDescent="0.25">
      <c r="A3625" s="7" t="s">
        <v>15664</v>
      </c>
      <c r="B3625" s="8" t="s">
        <v>15665</v>
      </c>
      <c r="C3625" s="8" t="s">
        <v>1865</v>
      </c>
      <c r="D3625" s="8" t="str">
        <f>"9789176857571"</f>
        <v>9789176857571</v>
      </c>
    </row>
    <row r="3626" spans="1:4" ht="30" x14ac:dyDescent="0.25">
      <c r="A3626" s="7" t="s">
        <v>10572</v>
      </c>
      <c r="B3626" s="8" t="s">
        <v>10573</v>
      </c>
      <c r="C3626" s="8" t="s">
        <v>993</v>
      </c>
      <c r="D3626" s="8" t="str">
        <f>"9783839460320"</f>
        <v>9783839460320</v>
      </c>
    </row>
    <row r="3627" spans="1:4" x14ac:dyDescent="0.25">
      <c r="A3627" s="7" t="s">
        <v>7271</v>
      </c>
      <c r="B3627" s="8" t="s">
        <v>7272</v>
      </c>
      <c r="C3627" s="8" t="s">
        <v>355</v>
      </c>
      <c r="D3627" s="8" t="str">
        <f>"9783110584707"</f>
        <v>9783110584707</v>
      </c>
    </row>
    <row r="3628" spans="1:4" ht="30" x14ac:dyDescent="0.25">
      <c r="A3628" s="7" t="s">
        <v>9922</v>
      </c>
      <c r="B3628" s="8" t="s">
        <v>9923</v>
      </c>
      <c r="C3628" s="8" t="s">
        <v>993</v>
      </c>
      <c r="D3628" s="8" t="str">
        <f>"9783839408179"</f>
        <v>9783839408179</v>
      </c>
    </row>
    <row r="3629" spans="1:4" ht="30" x14ac:dyDescent="0.25">
      <c r="A3629" s="7" t="s">
        <v>8212</v>
      </c>
      <c r="B3629" s="8" t="s">
        <v>8213</v>
      </c>
      <c r="C3629" s="8" t="s">
        <v>993</v>
      </c>
      <c r="D3629" s="8" t="str">
        <f>"9783839442234"</f>
        <v>9783839442234</v>
      </c>
    </row>
    <row r="3630" spans="1:4" x14ac:dyDescent="0.25">
      <c r="A3630" s="7" t="s">
        <v>8305</v>
      </c>
      <c r="B3630" s="8" t="s">
        <v>8306</v>
      </c>
      <c r="C3630" s="8" t="s">
        <v>993</v>
      </c>
      <c r="D3630" s="8" t="str">
        <f>"9783839455562"</f>
        <v>9783839455562</v>
      </c>
    </row>
    <row r="3631" spans="1:4" x14ac:dyDescent="0.25">
      <c r="A3631" s="7" t="s">
        <v>9898</v>
      </c>
      <c r="B3631" s="8" t="s">
        <v>9899</v>
      </c>
      <c r="C3631" s="8" t="s">
        <v>993</v>
      </c>
      <c r="D3631" s="8" t="str">
        <f>"9783839407615"</f>
        <v>9783839407615</v>
      </c>
    </row>
    <row r="3632" spans="1:4" x14ac:dyDescent="0.25">
      <c r="A3632" s="7" t="s">
        <v>15771</v>
      </c>
      <c r="B3632" s="8" t="s">
        <v>15772</v>
      </c>
      <c r="C3632" s="8" t="s">
        <v>1865</v>
      </c>
      <c r="D3632" s="8" t="str">
        <f>"9789175198705"</f>
        <v>9789175198705</v>
      </c>
    </row>
    <row r="3633" spans="1:4" x14ac:dyDescent="0.25">
      <c r="A3633" s="7" t="s">
        <v>13536</v>
      </c>
      <c r="B3633" s="8" t="s">
        <v>13537</v>
      </c>
      <c r="C3633" s="8" t="s">
        <v>5086</v>
      </c>
      <c r="D3633" s="8" t="str">
        <f>"9783658395360"</f>
        <v>9783658395360</v>
      </c>
    </row>
    <row r="3634" spans="1:4" x14ac:dyDescent="0.25">
      <c r="A3634" s="7" t="s">
        <v>11665</v>
      </c>
      <c r="B3634" s="8" t="s">
        <v>11666</v>
      </c>
      <c r="C3634" s="8" t="s">
        <v>355</v>
      </c>
      <c r="D3634" s="8" t="str">
        <f>"9783110727555"</f>
        <v>9783110727555</v>
      </c>
    </row>
    <row r="3635" spans="1:4" x14ac:dyDescent="0.25">
      <c r="A3635" s="7" t="s">
        <v>734</v>
      </c>
      <c r="B3635" s="8" t="s">
        <v>735</v>
      </c>
      <c r="C3635" s="8" t="s">
        <v>355</v>
      </c>
      <c r="D3635" s="8" t="str">
        <f>"9788376560564"</f>
        <v>9788376560564</v>
      </c>
    </row>
    <row r="3636" spans="1:4" x14ac:dyDescent="0.25">
      <c r="A3636" s="7" t="s">
        <v>15073</v>
      </c>
      <c r="B3636" s="8" t="s">
        <v>15074</v>
      </c>
      <c r="C3636" s="8" t="s">
        <v>1865</v>
      </c>
      <c r="D3636" s="8" t="str">
        <f>"9789175197128"</f>
        <v>9789175197128</v>
      </c>
    </row>
    <row r="3637" spans="1:4" x14ac:dyDescent="0.25">
      <c r="A3637" s="7" t="s">
        <v>9125</v>
      </c>
      <c r="B3637" s="8" t="s">
        <v>9126</v>
      </c>
      <c r="C3637" s="8" t="s">
        <v>1053</v>
      </c>
      <c r="D3637" s="8" t="str">
        <f>"9781646420025"</f>
        <v>9781646420025</v>
      </c>
    </row>
    <row r="3638" spans="1:4" ht="30" x14ac:dyDescent="0.25">
      <c r="A3638" s="7" t="s">
        <v>7580</v>
      </c>
      <c r="B3638" s="8" t="s">
        <v>7581</v>
      </c>
      <c r="C3638" s="8" t="s">
        <v>993</v>
      </c>
      <c r="D3638" s="8" t="str">
        <f>"9783839413258"</f>
        <v>9783839413258</v>
      </c>
    </row>
    <row r="3639" spans="1:4" x14ac:dyDescent="0.25">
      <c r="A3639" s="7" t="s">
        <v>9497</v>
      </c>
      <c r="B3639" s="8" t="s">
        <v>9498</v>
      </c>
      <c r="C3639" s="8" t="s">
        <v>2273</v>
      </c>
      <c r="D3639" s="8" t="str">
        <f>"9783030921408"</f>
        <v>9783030921408</v>
      </c>
    </row>
    <row r="3640" spans="1:4" x14ac:dyDescent="0.25">
      <c r="A3640" s="7" t="s">
        <v>712</v>
      </c>
      <c r="B3640" s="8" t="s">
        <v>713</v>
      </c>
      <c r="C3640" s="8" t="s">
        <v>316</v>
      </c>
      <c r="D3640" s="8" t="str">
        <f>"9783110322569"</f>
        <v>9783110322569</v>
      </c>
    </row>
    <row r="3641" spans="1:4" ht="30" x14ac:dyDescent="0.25">
      <c r="A3641" s="7" t="s">
        <v>7163</v>
      </c>
      <c r="B3641" s="8" t="s">
        <v>5965</v>
      </c>
      <c r="C3641" s="8" t="s">
        <v>355</v>
      </c>
      <c r="D3641" s="8" t="str">
        <f>"9783110607772"</f>
        <v>9783110607772</v>
      </c>
    </row>
    <row r="3642" spans="1:4" ht="30" x14ac:dyDescent="0.25">
      <c r="A3642" s="7" t="s">
        <v>9984</v>
      </c>
      <c r="B3642" s="8" t="s">
        <v>9985</v>
      </c>
      <c r="C3642" s="8" t="s">
        <v>993</v>
      </c>
      <c r="D3642" s="8" t="str">
        <f>"9783839409428"</f>
        <v>9783839409428</v>
      </c>
    </row>
    <row r="3643" spans="1:4" ht="30" x14ac:dyDescent="0.25">
      <c r="A3643" s="7" t="s">
        <v>12011</v>
      </c>
      <c r="B3643" s="8" t="s">
        <v>12012</v>
      </c>
      <c r="C3643" s="8" t="s">
        <v>355</v>
      </c>
      <c r="D3643" s="8" t="str">
        <f>"9783110758948"</f>
        <v>9783110758948</v>
      </c>
    </row>
    <row r="3644" spans="1:4" ht="30" x14ac:dyDescent="0.25">
      <c r="A3644" s="7" t="s">
        <v>8152</v>
      </c>
      <c r="B3644" s="8" t="s">
        <v>8153</v>
      </c>
      <c r="C3644" s="8" t="s">
        <v>993</v>
      </c>
      <c r="D3644" s="8" t="str">
        <f>"9783839450666"</f>
        <v>9783839450666</v>
      </c>
    </row>
    <row r="3645" spans="1:4" x14ac:dyDescent="0.25">
      <c r="A3645" s="7" t="s">
        <v>11817</v>
      </c>
      <c r="B3645" s="8" t="s">
        <v>55</v>
      </c>
      <c r="C3645" s="8" t="s">
        <v>355</v>
      </c>
      <c r="D3645" s="8" t="str">
        <f>"9783110604276"</f>
        <v>9783110604276</v>
      </c>
    </row>
    <row r="3646" spans="1:4" x14ac:dyDescent="0.25">
      <c r="A3646" s="7" t="s">
        <v>4553</v>
      </c>
      <c r="B3646" s="8" t="s">
        <v>4554</v>
      </c>
      <c r="C3646" s="8" t="s">
        <v>1879</v>
      </c>
      <c r="D3646" s="8" t="str">
        <f>"9781783740246"</f>
        <v>9781783740246</v>
      </c>
    </row>
    <row r="3647" spans="1:4" x14ac:dyDescent="0.25">
      <c r="A3647" s="7" t="s">
        <v>6014</v>
      </c>
      <c r="B3647" s="8" t="s">
        <v>6015</v>
      </c>
      <c r="C3647" s="8" t="s">
        <v>2273</v>
      </c>
      <c r="D3647" s="8" t="str">
        <f>"9783319316161"</f>
        <v>9783319316161</v>
      </c>
    </row>
    <row r="3648" spans="1:4" x14ac:dyDescent="0.25">
      <c r="A3648" s="7" t="s">
        <v>11625</v>
      </c>
      <c r="B3648" s="8" t="s">
        <v>11626</v>
      </c>
      <c r="C3648" s="8" t="s">
        <v>355</v>
      </c>
      <c r="D3648" s="8" t="str">
        <f>"9783110709292"</f>
        <v>9783110709292</v>
      </c>
    </row>
    <row r="3649" spans="1:4" x14ac:dyDescent="0.25">
      <c r="A3649" s="7" t="s">
        <v>781</v>
      </c>
      <c r="B3649" s="8" t="s">
        <v>782</v>
      </c>
      <c r="C3649" s="8" t="s">
        <v>355</v>
      </c>
      <c r="D3649" s="8" t="str">
        <f>"9783486755732"</f>
        <v>9783486755732</v>
      </c>
    </row>
    <row r="3650" spans="1:4" ht="30" x14ac:dyDescent="0.25">
      <c r="A3650" s="7" t="s">
        <v>7472</v>
      </c>
      <c r="B3650" s="8" t="s">
        <v>7473</v>
      </c>
      <c r="C3650" s="8" t="s">
        <v>993</v>
      </c>
      <c r="D3650" s="8" t="str">
        <f>"9783839445433"</f>
        <v>9783839445433</v>
      </c>
    </row>
    <row r="3651" spans="1:4" x14ac:dyDescent="0.25">
      <c r="A3651" s="7" t="s">
        <v>10607</v>
      </c>
      <c r="B3651" s="8" t="s">
        <v>10608</v>
      </c>
      <c r="C3651" s="8" t="s">
        <v>2273</v>
      </c>
      <c r="D3651" s="8" t="str">
        <f>"9783030937980"</f>
        <v>9783030937980</v>
      </c>
    </row>
    <row r="3652" spans="1:4" x14ac:dyDescent="0.25">
      <c r="A3652" s="7" t="s">
        <v>10447</v>
      </c>
      <c r="B3652" s="8" t="s">
        <v>10448</v>
      </c>
      <c r="C3652" s="8" t="s">
        <v>993</v>
      </c>
      <c r="D3652" s="8" t="str">
        <f>"9783839456903"</f>
        <v>9783839456903</v>
      </c>
    </row>
    <row r="3653" spans="1:4" ht="30" x14ac:dyDescent="0.25">
      <c r="A3653" s="7" t="s">
        <v>12292</v>
      </c>
      <c r="B3653" s="8" t="s">
        <v>12293</v>
      </c>
      <c r="C3653" s="8" t="s">
        <v>993</v>
      </c>
      <c r="D3653" s="8" t="str">
        <f>"9783839459843"</f>
        <v>9783839459843</v>
      </c>
    </row>
    <row r="3654" spans="1:4" ht="30" x14ac:dyDescent="0.25">
      <c r="A3654" s="7" t="s">
        <v>7925</v>
      </c>
      <c r="B3654" s="8" t="s">
        <v>7926</v>
      </c>
      <c r="C3654" s="8" t="s">
        <v>5086</v>
      </c>
      <c r="D3654" s="8" t="str">
        <f>"9783658332891"</f>
        <v>9783658332891</v>
      </c>
    </row>
    <row r="3655" spans="1:4" x14ac:dyDescent="0.25">
      <c r="A3655" s="7" t="s">
        <v>352</v>
      </c>
      <c r="B3655" s="8" t="s">
        <v>353</v>
      </c>
      <c r="C3655" s="8" t="s">
        <v>316</v>
      </c>
      <c r="D3655" s="8" t="str">
        <f>"9783110232356"</f>
        <v>9783110232356</v>
      </c>
    </row>
    <row r="3656" spans="1:4" x14ac:dyDescent="0.25">
      <c r="A3656" s="7" t="s">
        <v>5133</v>
      </c>
      <c r="B3656" s="8" t="s">
        <v>5135</v>
      </c>
      <c r="C3656" s="8" t="s">
        <v>5134</v>
      </c>
      <c r="D3656" s="8" t="str">
        <f>"9783662610336"</f>
        <v>9783662610336</v>
      </c>
    </row>
    <row r="3657" spans="1:4" ht="30" x14ac:dyDescent="0.25">
      <c r="A3657" s="7" t="s">
        <v>8337</v>
      </c>
      <c r="B3657" s="8" t="s">
        <v>8338</v>
      </c>
      <c r="C3657" s="8" t="s">
        <v>993</v>
      </c>
      <c r="D3657" s="8" t="str">
        <f>"9783839454299"</f>
        <v>9783839454299</v>
      </c>
    </row>
    <row r="3658" spans="1:4" ht="30" x14ac:dyDescent="0.25">
      <c r="A3658" s="7" t="s">
        <v>13648</v>
      </c>
      <c r="B3658" s="8" t="s">
        <v>13649</v>
      </c>
      <c r="C3658" s="8" t="s">
        <v>5086</v>
      </c>
      <c r="D3658" s="8" t="str">
        <f>"9783658397739"</f>
        <v>9783658397739</v>
      </c>
    </row>
    <row r="3659" spans="1:4" x14ac:dyDescent="0.25">
      <c r="A3659" s="7" t="s">
        <v>496</v>
      </c>
      <c r="B3659" s="8" t="s">
        <v>497</v>
      </c>
      <c r="C3659" s="8" t="s">
        <v>316</v>
      </c>
      <c r="D3659" s="8" t="str">
        <f>"9783110288216"</f>
        <v>9783110288216</v>
      </c>
    </row>
    <row r="3660" spans="1:4" x14ac:dyDescent="0.25">
      <c r="A3660" s="7" t="s">
        <v>1250</v>
      </c>
      <c r="B3660" s="8" t="s">
        <v>1251</v>
      </c>
      <c r="C3660" s="8" t="s">
        <v>1224</v>
      </c>
      <c r="D3660" s="8" t="str">
        <f>"9781618116901"</f>
        <v>9781618116901</v>
      </c>
    </row>
    <row r="3661" spans="1:4" x14ac:dyDescent="0.25">
      <c r="A3661" s="7" t="s">
        <v>12439</v>
      </c>
      <c r="B3661" s="8" t="s">
        <v>12440</v>
      </c>
      <c r="C3661" s="8" t="s">
        <v>2082</v>
      </c>
      <c r="D3661" s="8" t="str">
        <f>"9780472900312"</f>
        <v>9780472900312</v>
      </c>
    </row>
    <row r="3662" spans="1:4" x14ac:dyDescent="0.25">
      <c r="A3662" s="7" t="s">
        <v>2041</v>
      </c>
      <c r="B3662" s="8" t="s">
        <v>2042</v>
      </c>
      <c r="C3662" s="8" t="s">
        <v>1962</v>
      </c>
      <c r="D3662" s="8" t="str">
        <f>"9782759203239"</f>
        <v>9782759203239</v>
      </c>
    </row>
    <row r="3663" spans="1:4" x14ac:dyDescent="0.25">
      <c r="A3663" s="7" t="s">
        <v>5020</v>
      </c>
      <c r="B3663" s="8" t="s">
        <v>5021</v>
      </c>
      <c r="C3663" s="8" t="s">
        <v>355</v>
      </c>
      <c r="D3663" s="8" t="str">
        <f>"9783110666373"</f>
        <v>9783110666373</v>
      </c>
    </row>
    <row r="3664" spans="1:4" x14ac:dyDescent="0.25">
      <c r="A3664" s="7" t="s">
        <v>7598</v>
      </c>
      <c r="B3664" s="8" t="s">
        <v>7599</v>
      </c>
      <c r="C3664" s="8" t="s">
        <v>993</v>
      </c>
      <c r="D3664" s="8" t="str">
        <f>"9783839419373"</f>
        <v>9783839419373</v>
      </c>
    </row>
    <row r="3665" spans="1:4" x14ac:dyDescent="0.25">
      <c r="A3665" s="7" t="s">
        <v>15171</v>
      </c>
      <c r="B3665" s="8" t="s">
        <v>15172</v>
      </c>
      <c r="C3665" s="8" t="s">
        <v>1865</v>
      </c>
      <c r="D3665" s="8" t="str">
        <f>"9789175199535"</f>
        <v>9789175199535</v>
      </c>
    </row>
    <row r="3666" spans="1:4" x14ac:dyDescent="0.25">
      <c r="A3666" s="7" t="s">
        <v>7255</v>
      </c>
      <c r="B3666" s="8" t="s">
        <v>2207</v>
      </c>
      <c r="C3666" s="8" t="s">
        <v>355</v>
      </c>
      <c r="D3666" s="8" t="str">
        <f>"9783110642636"</f>
        <v>9783110642636</v>
      </c>
    </row>
    <row r="3667" spans="1:4" ht="30" x14ac:dyDescent="0.25">
      <c r="A3667" s="7" t="s">
        <v>7133</v>
      </c>
      <c r="B3667" s="8" t="s">
        <v>7134</v>
      </c>
      <c r="C3667" s="8" t="s">
        <v>329</v>
      </c>
      <c r="D3667" s="8" t="str">
        <f>"9789048532919"</f>
        <v>9789048532919</v>
      </c>
    </row>
    <row r="3668" spans="1:4" x14ac:dyDescent="0.25">
      <c r="A3668" s="7" t="s">
        <v>6135</v>
      </c>
      <c r="B3668" s="8" t="s">
        <v>6136</v>
      </c>
      <c r="C3668" s="8" t="s">
        <v>2273</v>
      </c>
      <c r="D3668" s="8" t="str">
        <f>"9783319727905"</f>
        <v>9783319727905</v>
      </c>
    </row>
    <row r="3669" spans="1:4" x14ac:dyDescent="0.25">
      <c r="A3669" s="7" t="s">
        <v>8974</v>
      </c>
      <c r="B3669" s="8" t="s">
        <v>8975</v>
      </c>
      <c r="C3669" s="8" t="s">
        <v>1879</v>
      </c>
      <c r="D3669" s="8" t="str">
        <f>"9781800642683"</f>
        <v>9781800642683</v>
      </c>
    </row>
    <row r="3670" spans="1:4" x14ac:dyDescent="0.25">
      <c r="A3670" s="7" t="s">
        <v>414</v>
      </c>
      <c r="B3670" s="8" t="s">
        <v>415</v>
      </c>
      <c r="C3670" s="8" t="s">
        <v>227</v>
      </c>
      <c r="D3670" s="8" t="str">
        <f>"9781847790798"</f>
        <v>9781847790798</v>
      </c>
    </row>
    <row r="3671" spans="1:4" x14ac:dyDescent="0.25">
      <c r="A3671" s="7" t="s">
        <v>14629</v>
      </c>
      <c r="B3671" s="8" t="s">
        <v>12569</v>
      </c>
      <c r="C3671" s="8" t="s">
        <v>1865</v>
      </c>
      <c r="D3671" s="8" t="str">
        <f>"9789179299309"</f>
        <v>9789179299309</v>
      </c>
    </row>
    <row r="3672" spans="1:4" ht="30" x14ac:dyDescent="0.25">
      <c r="A3672" s="7" t="s">
        <v>12568</v>
      </c>
      <c r="B3672" s="8" t="s">
        <v>12569</v>
      </c>
      <c r="C3672" s="8" t="s">
        <v>1865</v>
      </c>
      <c r="D3672" s="8" t="str">
        <f>"9789179293901"</f>
        <v>9789179293901</v>
      </c>
    </row>
    <row r="3673" spans="1:4" x14ac:dyDescent="0.25">
      <c r="A3673" s="7" t="s">
        <v>6299</v>
      </c>
      <c r="B3673" s="8" t="s">
        <v>6300</v>
      </c>
      <c r="C3673" s="8" t="s">
        <v>993</v>
      </c>
      <c r="D3673" s="8" t="str">
        <f>"9783839449424"</f>
        <v>9783839449424</v>
      </c>
    </row>
    <row r="3674" spans="1:4" x14ac:dyDescent="0.25">
      <c r="A3674" s="7" t="s">
        <v>4117</v>
      </c>
      <c r="B3674" s="8" t="s">
        <v>4118</v>
      </c>
      <c r="C3674" s="8" t="s">
        <v>355</v>
      </c>
      <c r="D3674" s="8" t="str">
        <f>"9783110532241"</f>
        <v>9783110532241</v>
      </c>
    </row>
    <row r="3675" spans="1:4" x14ac:dyDescent="0.25">
      <c r="A3675" s="7" t="s">
        <v>12435</v>
      </c>
      <c r="B3675" s="8" t="s">
        <v>12436</v>
      </c>
      <c r="C3675" s="8" t="s">
        <v>2785</v>
      </c>
      <c r="D3675" s="8" t="str">
        <f>"9789811921230"</f>
        <v>9789811921230</v>
      </c>
    </row>
    <row r="3676" spans="1:4" x14ac:dyDescent="0.25">
      <c r="A3676" s="7" t="s">
        <v>13524</v>
      </c>
      <c r="B3676" s="8" t="s">
        <v>13525</v>
      </c>
      <c r="C3676" s="8" t="s">
        <v>2273</v>
      </c>
      <c r="D3676" s="8" t="str">
        <f>"9783031103995"</f>
        <v>9783031103995</v>
      </c>
    </row>
    <row r="3677" spans="1:4" x14ac:dyDescent="0.25">
      <c r="A3677" s="7" t="s">
        <v>961</v>
      </c>
      <c r="B3677" s="8" t="s">
        <v>962</v>
      </c>
      <c r="C3677" s="8" t="s">
        <v>562</v>
      </c>
      <c r="D3677" s="8" t="str">
        <f>"9780822376064"</f>
        <v>9780822376064</v>
      </c>
    </row>
    <row r="3678" spans="1:4" x14ac:dyDescent="0.25">
      <c r="A3678" s="7" t="s">
        <v>12389</v>
      </c>
      <c r="B3678" s="8" t="s">
        <v>12390</v>
      </c>
      <c r="C3678" s="8" t="s">
        <v>2274</v>
      </c>
      <c r="D3678" s="8" t="str">
        <f>"9789811936395"</f>
        <v>9789811936395</v>
      </c>
    </row>
    <row r="3679" spans="1:4" x14ac:dyDescent="0.25">
      <c r="A3679" s="7" t="s">
        <v>3143</v>
      </c>
      <c r="B3679" s="8" t="s">
        <v>3144</v>
      </c>
      <c r="C3679" s="8" t="s">
        <v>562</v>
      </c>
      <c r="D3679" s="8" t="str">
        <f>"9780822372912"</f>
        <v>9780822372912</v>
      </c>
    </row>
    <row r="3680" spans="1:4" x14ac:dyDescent="0.25">
      <c r="A3680" s="7" t="s">
        <v>16083</v>
      </c>
      <c r="B3680" s="8" t="s">
        <v>14601</v>
      </c>
      <c r="C3680" s="8" t="s">
        <v>1865</v>
      </c>
      <c r="D3680" s="8" t="str">
        <f>"9789176851982"</f>
        <v>9789176851982</v>
      </c>
    </row>
    <row r="3681" spans="1:4" x14ac:dyDescent="0.25">
      <c r="A3681" s="7" t="s">
        <v>11885</v>
      </c>
      <c r="B3681" s="8" t="s">
        <v>106</v>
      </c>
      <c r="C3681" s="8" t="s">
        <v>355</v>
      </c>
      <c r="D3681" s="8" t="str">
        <f>"9783110748383"</f>
        <v>9783110748383</v>
      </c>
    </row>
    <row r="3682" spans="1:4" ht="30" x14ac:dyDescent="0.25">
      <c r="A3682" s="7" t="s">
        <v>10985</v>
      </c>
      <c r="B3682" s="8" t="s">
        <v>10986</v>
      </c>
      <c r="C3682" s="8" t="s">
        <v>2273</v>
      </c>
      <c r="D3682" s="8" t="str">
        <f>"9783030964740"</f>
        <v>9783030964740</v>
      </c>
    </row>
    <row r="3683" spans="1:4" ht="30" x14ac:dyDescent="0.25">
      <c r="A3683" s="7" t="s">
        <v>450</v>
      </c>
      <c r="B3683" s="8" t="s">
        <v>451</v>
      </c>
      <c r="C3683" s="8" t="s">
        <v>329</v>
      </c>
      <c r="D3683" s="8" t="str">
        <f>"9789048512737"</f>
        <v>9789048512737</v>
      </c>
    </row>
    <row r="3684" spans="1:4" ht="30" x14ac:dyDescent="0.25">
      <c r="A3684" s="7" t="s">
        <v>15067</v>
      </c>
      <c r="B3684" s="8" t="s">
        <v>2137</v>
      </c>
      <c r="C3684" s="8" t="s">
        <v>1865</v>
      </c>
      <c r="D3684" s="8" t="str">
        <f>"9789176854327"</f>
        <v>9789176854327</v>
      </c>
    </row>
    <row r="3685" spans="1:4" ht="30" x14ac:dyDescent="0.25">
      <c r="A3685" s="7" t="s">
        <v>4610</v>
      </c>
      <c r="B3685" s="8" t="s">
        <v>4611</v>
      </c>
      <c r="C3685" s="8" t="s">
        <v>1865</v>
      </c>
      <c r="D3685" s="8" t="str">
        <f>"9789176850251"</f>
        <v>9789176850251</v>
      </c>
    </row>
    <row r="3686" spans="1:4" x14ac:dyDescent="0.25">
      <c r="A3686" s="7" t="s">
        <v>1070</v>
      </c>
      <c r="B3686" s="8" t="s">
        <v>1071</v>
      </c>
      <c r="C3686" s="8" t="s">
        <v>316</v>
      </c>
      <c r="D3686" s="8" t="str">
        <f>"9783110328950"</f>
        <v>9783110328950</v>
      </c>
    </row>
    <row r="3687" spans="1:4" x14ac:dyDescent="0.25">
      <c r="A3687" s="7" t="s">
        <v>16405</v>
      </c>
      <c r="B3687" s="8"/>
      <c r="C3687" s="8" t="s">
        <v>329</v>
      </c>
      <c r="D3687" s="8" t="str">
        <f>"9789048529933"</f>
        <v>9789048529933</v>
      </c>
    </row>
    <row r="3688" spans="1:4" x14ac:dyDescent="0.25">
      <c r="A3688" s="7" t="s">
        <v>11138</v>
      </c>
      <c r="B3688" s="8" t="s">
        <v>11139</v>
      </c>
      <c r="C3688" s="8" t="s">
        <v>2273</v>
      </c>
      <c r="D3688" s="8" t="str">
        <f>"9783031009280"</f>
        <v>9783031009280</v>
      </c>
    </row>
    <row r="3689" spans="1:4" ht="30" x14ac:dyDescent="0.25">
      <c r="A3689" s="7" t="s">
        <v>3173</v>
      </c>
      <c r="B3689" s="8" t="s">
        <v>3174</v>
      </c>
      <c r="C3689" s="8" t="s">
        <v>1865</v>
      </c>
      <c r="D3689" s="8" t="str">
        <f>"9789176855522"</f>
        <v>9789176855522</v>
      </c>
    </row>
    <row r="3690" spans="1:4" ht="30" x14ac:dyDescent="0.25">
      <c r="A3690" s="7" t="s">
        <v>8594</v>
      </c>
      <c r="B3690" s="8" t="s">
        <v>8595</v>
      </c>
      <c r="C3690" s="8" t="s">
        <v>2274</v>
      </c>
      <c r="D3690" s="8" t="str">
        <f>"9789811652486"</f>
        <v>9789811652486</v>
      </c>
    </row>
    <row r="3691" spans="1:4" x14ac:dyDescent="0.25">
      <c r="A3691" s="7" t="s">
        <v>1947</v>
      </c>
      <c r="B3691" s="8" t="s">
        <v>1948</v>
      </c>
      <c r="C3691" s="8" t="s">
        <v>1879</v>
      </c>
      <c r="D3691" s="8" t="str">
        <f>"9781909254077"</f>
        <v>9781909254077</v>
      </c>
    </row>
    <row r="3692" spans="1:4" x14ac:dyDescent="0.25">
      <c r="A3692" s="7" t="s">
        <v>8229</v>
      </c>
      <c r="B3692" s="8" t="s">
        <v>8230</v>
      </c>
      <c r="C3692" s="8" t="s">
        <v>993</v>
      </c>
      <c r="D3692" s="8" t="str">
        <f>"9783839457658"</f>
        <v>9783839457658</v>
      </c>
    </row>
    <row r="3693" spans="1:4" x14ac:dyDescent="0.25">
      <c r="A3693" s="7" t="s">
        <v>10790</v>
      </c>
      <c r="B3693" s="8" t="s">
        <v>10791</v>
      </c>
      <c r="C3693" s="8" t="s">
        <v>1876</v>
      </c>
      <c r="D3693" s="8" t="str">
        <f>"9781925377156"</f>
        <v>9781925377156</v>
      </c>
    </row>
    <row r="3694" spans="1:4" x14ac:dyDescent="0.25">
      <c r="A3694" s="7" t="s">
        <v>6395</v>
      </c>
      <c r="B3694" s="8" t="s">
        <v>6396</v>
      </c>
      <c r="C3694" s="8" t="s">
        <v>227</v>
      </c>
      <c r="D3694" s="8" t="str">
        <f>"9781526101501"</f>
        <v>9781526101501</v>
      </c>
    </row>
    <row r="3695" spans="1:4" x14ac:dyDescent="0.25">
      <c r="A3695" s="7" t="s">
        <v>12152</v>
      </c>
      <c r="B3695" s="8" t="s">
        <v>12047</v>
      </c>
      <c r="C3695" s="8" t="s">
        <v>355</v>
      </c>
      <c r="D3695" s="8" t="str">
        <f>"9783110719017"</f>
        <v>9783110719017</v>
      </c>
    </row>
    <row r="3696" spans="1:4" ht="30" x14ac:dyDescent="0.25">
      <c r="A3696" s="7" t="s">
        <v>16128</v>
      </c>
      <c r="B3696" s="8" t="s">
        <v>16129</v>
      </c>
      <c r="C3696" s="8" t="s">
        <v>1865</v>
      </c>
      <c r="D3696" s="8" t="str">
        <f>"9789175196169"</f>
        <v>9789175196169</v>
      </c>
    </row>
    <row r="3697" spans="1:4" x14ac:dyDescent="0.25">
      <c r="A3697" s="7" t="s">
        <v>15075</v>
      </c>
      <c r="B3697" s="8" t="s">
        <v>15076</v>
      </c>
      <c r="C3697" s="8" t="s">
        <v>1865</v>
      </c>
      <c r="D3697" s="8" t="str">
        <f>"9789176858899"</f>
        <v>9789176858899</v>
      </c>
    </row>
    <row r="3698" spans="1:4" x14ac:dyDescent="0.25">
      <c r="A3698" s="7" t="s">
        <v>3669</v>
      </c>
      <c r="B3698" s="8" t="s">
        <v>3670</v>
      </c>
      <c r="C3698" s="8" t="s">
        <v>1879</v>
      </c>
      <c r="D3698" s="8" t="str">
        <f>"9781783743001"</f>
        <v>9781783743001</v>
      </c>
    </row>
    <row r="3699" spans="1:4" x14ac:dyDescent="0.25">
      <c r="A3699" s="7" t="s">
        <v>15069</v>
      </c>
      <c r="B3699" s="8" t="s">
        <v>15070</v>
      </c>
      <c r="C3699" s="8" t="s">
        <v>1865</v>
      </c>
      <c r="D3699" s="8" t="str">
        <f>"9789175199221"</f>
        <v>9789175199221</v>
      </c>
    </row>
    <row r="3700" spans="1:4" ht="30" x14ac:dyDescent="0.25">
      <c r="A3700" s="7" t="s">
        <v>3231</v>
      </c>
      <c r="B3700" s="8" t="s">
        <v>3232</v>
      </c>
      <c r="C3700" s="8" t="s">
        <v>1345</v>
      </c>
      <c r="D3700" s="8" t="str">
        <f>"9783737601818"</f>
        <v>9783737601818</v>
      </c>
    </row>
    <row r="3701" spans="1:4" x14ac:dyDescent="0.25">
      <c r="A3701" s="7" t="s">
        <v>5090</v>
      </c>
      <c r="B3701" s="8" t="s">
        <v>5091</v>
      </c>
      <c r="C3701" s="8" t="s">
        <v>2273</v>
      </c>
      <c r="D3701" s="8" t="str">
        <f>"9783030414801"</f>
        <v>9783030414801</v>
      </c>
    </row>
    <row r="3702" spans="1:4" ht="30" x14ac:dyDescent="0.25">
      <c r="A3702" s="7" t="s">
        <v>3911</v>
      </c>
      <c r="B3702" s="8" t="s">
        <v>3912</v>
      </c>
      <c r="C3702" s="8" t="s">
        <v>355</v>
      </c>
      <c r="D3702" s="8" t="str">
        <f>"9783110471137"</f>
        <v>9783110471137</v>
      </c>
    </row>
    <row r="3703" spans="1:4" x14ac:dyDescent="0.25">
      <c r="A3703" s="7" t="s">
        <v>7345</v>
      </c>
      <c r="B3703" s="8" t="s">
        <v>7346</v>
      </c>
      <c r="C3703" s="8" t="s">
        <v>1879</v>
      </c>
      <c r="D3703" s="8" t="str">
        <f>"9781800642089"</f>
        <v>9781800642089</v>
      </c>
    </row>
    <row r="3704" spans="1:4" ht="30" x14ac:dyDescent="0.25">
      <c r="A3704" s="7" t="s">
        <v>13581</v>
      </c>
      <c r="B3704" s="8" t="s">
        <v>13582</v>
      </c>
      <c r="C3704" s="8" t="s">
        <v>2273</v>
      </c>
      <c r="D3704" s="8" t="str">
        <f>"9783031097867"</f>
        <v>9783031097867</v>
      </c>
    </row>
    <row r="3705" spans="1:4" x14ac:dyDescent="0.25">
      <c r="A3705" s="7" t="s">
        <v>2767</v>
      </c>
      <c r="B3705" s="8" t="s">
        <v>2768</v>
      </c>
      <c r="C3705" s="8" t="s">
        <v>227</v>
      </c>
      <c r="D3705" s="8" t="str">
        <f>"9781847799739"</f>
        <v>9781847799739</v>
      </c>
    </row>
    <row r="3706" spans="1:4" ht="30" x14ac:dyDescent="0.25">
      <c r="A3706" s="7" t="s">
        <v>15648</v>
      </c>
      <c r="B3706" s="8" t="s">
        <v>15649</v>
      </c>
      <c r="C3706" s="8" t="s">
        <v>1865</v>
      </c>
      <c r="D3706" s="8" t="str">
        <f>"9789173939256"</f>
        <v>9789173939256</v>
      </c>
    </row>
    <row r="3707" spans="1:4" x14ac:dyDescent="0.25">
      <c r="A3707" s="7" t="s">
        <v>6146</v>
      </c>
      <c r="B3707" s="8" t="s">
        <v>6147</v>
      </c>
      <c r="C3707" s="8" t="s">
        <v>2273</v>
      </c>
      <c r="D3707" s="8" t="str">
        <f>"9783319948003"</f>
        <v>9783319948003</v>
      </c>
    </row>
    <row r="3708" spans="1:4" x14ac:dyDescent="0.25">
      <c r="A3708" s="7" t="s">
        <v>2688</v>
      </c>
      <c r="B3708" s="8" t="s">
        <v>2689</v>
      </c>
      <c r="C3708" s="8" t="s">
        <v>2073</v>
      </c>
      <c r="D3708" s="8" t="str">
        <f>"9781438459417"</f>
        <v>9781438459417</v>
      </c>
    </row>
    <row r="3709" spans="1:4" x14ac:dyDescent="0.25">
      <c r="A3709" s="7" t="s">
        <v>5436</v>
      </c>
      <c r="B3709" s="8" t="s">
        <v>5437</v>
      </c>
      <c r="C3709" s="8" t="s">
        <v>329</v>
      </c>
      <c r="D3709" s="8" t="str">
        <f>"9789048551552"</f>
        <v>9789048551552</v>
      </c>
    </row>
    <row r="3710" spans="1:4" ht="30" x14ac:dyDescent="0.25">
      <c r="A3710" s="7" t="s">
        <v>4919</v>
      </c>
      <c r="B3710" s="8" t="s">
        <v>4920</v>
      </c>
      <c r="C3710" s="8" t="s">
        <v>1865</v>
      </c>
      <c r="D3710" s="8" t="str">
        <f>"9789179299033"</f>
        <v>9789179299033</v>
      </c>
    </row>
    <row r="3711" spans="1:4" x14ac:dyDescent="0.25">
      <c r="A3711" s="7" t="s">
        <v>11260</v>
      </c>
      <c r="B3711" s="8" t="s">
        <v>11261</v>
      </c>
      <c r="C3711" s="8" t="s">
        <v>355</v>
      </c>
      <c r="D3711" s="8" t="str">
        <f>"9783110585421"</f>
        <v>9783110585421</v>
      </c>
    </row>
    <row r="3712" spans="1:4" x14ac:dyDescent="0.25">
      <c r="A3712" s="7" t="s">
        <v>14162</v>
      </c>
      <c r="B3712" s="8" t="s">
        <v>14163</v>
      </c>
      <c r="C3712" s="8" t="s">
        <v>2273</v>
      </c>
      <c r="D3712" s="8" t="str">
        <f>"9783031174032"</f>
        <v>9783031174032</v>
      </c>
    </row>
    <row r="3713" spans="1:4" x14ac:dyDescent="0.25">
      <c r="A3713" s="7" t="s">
        <v>5819</v>
      </c>
      <c r="B3713" s="8" t="s">
        <v>5820</v>
      </c>
      <c r="C3713" s="8" t="s">
        <v>5228</v>
      </c>
      <c r="D3713" s="8" t="str">
        <f>"9781137500281"</f>
        <v>9781137500281</v>
      </c>
    </row>
    <row r="3714" spans="1:4" x14ac:dyDescent="0.25">
      <c r="A3714" s="7" t="s">
        <v>12373</v>
      </c>
      <c r="B3714" s="8" t="s">
        <v>12374</v>
      </c>
      <c r="C3714" s="8" t="s">
        <v>2273</v>
      </c>
      <c r="D3714" s="8" t="str">
        <f>"9783031019807"</f>
        <v>9783031019807</v>
      </c>
    </row>
    <row r="3715" spans="1:4" x14ac:dyDescent="0.25">
      <c r="A3715" s="7" t="s">
        <v>7690</v>
      </c>
      <c r="B3715" s="8" t="s">
        <v>7691</v>
      </c>
      <c r="C3715" s="8" t="s">
        <v>993</v>
      </c>
      <c r="D3715" s="8" t="str">
        <f>"9783839428580"</f>
        <v>9783839428580</v>
      </c>
    </row>
    <row r="3716" spans="1:4" x14ac:dyDescent="0.25">
      <c r="A3716" s="7" t="s">
        <v>11567</v>
      </c>
      <c r="B3716" s="8" t="s">
        <v>11568</v>
      </c>
      <c r="C3716" s="8" t="s">
        <v>355</v>
      </c>
      <c r="D3716" s="8" t="str">
        <f>"9783111481395"</f>
        <v>9783111481395</v>
      </c>
    </row>
    <row r="3717" spans="1:4" ht="30" x14ac:dyDescent="0.25">
      <c r="A3717" s="7" t="s">
        <v>15961</v>
      </c>
      <c r="B3717" s="8" t="s">
        <v>15962</v>
      </c>
      <c r="C3717" s="8" t="s">
        <v>1865</v>
      </c>
      <c r="D3717" s="8" t="str">
        <f>"9789175194745"</f>
        <v>9789175194745</v>
      </c>
    </row>
    <row r="3718" spans="1:4" x14ac:dyDescent="0.25">
      <c r="A3718" s="7" t="s">
        <v>10696</v>
      </c>
      <c r="B3718" s="8" t="s">
        <v>10697</v>
      </c>
      <c r="C3718" s="8" t="s">
        <v>1865</v>
      </c>
      <c r="D3718" s="8" t="str">
        <f>"9789179293536"</f>
        <v>9789179293536</v>
      </c>
    </row>
    <row r="3719" spans="1:4" x14ac:dyDescent="0.25">
      <c r="A3719" s="7" t="s">
        <v>4834</v>
      </c>
      <c r="B3719" s="8" t="s">
        <v>4835</v>
      </c>
      <c r="C3719" s="8" t="s">
        <v>1865</v>
      </c>
      <c r="D3719" s="8" t="str">
        <f>"9789179299064"</f>
        <v>9789179299064</v>
      </c>
    </row>
    <row r="3720" spans="1:4" x14ac:dyDescent="0.25">
      <c r="A3720" s="7" t="s">
        <v>311</v>
      </c>
      <c r="B3720" s="8" t="s">
        <v>312</v>
      </c>
      <c r="C3720" s="8" t="s">
        <v>309</v>
      </c>
      <c r="D3720" s="8" t="str">
        <f>"9781592131457"</f>
        <v>9781592131457</v>
      </c>
    </row>
    <row r="3721" spans="1:4" x14ac:dyDescent="0.25">
      <c r="A3721" s="7" t="s">
        <v>3052</v>
      </c>
      <c r="B3721" s="8" t="s">
        <v>3053</v>
      </c>
      <c r="C3721" s="8" t="s">
        <v>562</v>
      </c>
      <c r="D3721" s="8" t="str">
        <f>"9780822373599"</f>
        <v>9780822373599</v>
      </c>
    </row>
    <row r="3722" spans="1:4" ht="30" x14ac:dyDescent="0.25">
      <c r="A3722" s="7" t="s">
        <v>3380</v>
      </c>
      <c r="B3722" s="8" t="s">
        <v>3381</v>
      </c>
      <c r="C3722" s="8" t="s">
        <v>1865</v>
      </c>
      <c r="D3722" s="8" t="str">
        <f>"9789176854082"</f>
        <v>9789176854082</v>
      </c>
    </row>
    <row r="3723" spans="1:4" x14ac:dyDescent="0.25">
      <c r="A3723" s="7" t="s">
        <v>4346</v>
      </c>
      <c r="B3723" s="8" t="s">
        <v>4347</v>
      </c>
      <c r="C3723" s="8" t="s">
        <v>1879</v>
      </c>
      <c r="D3723" s="8" t="str">
        <f>"9781783746576"</f>
        <v>9781783746576</v>
      </c>
    </row>
    <row r="3724" spans="1:4" x14ac:dyDescent="0.25">
      <c r="A3724" s="7" t="s">
        <v>13967</v>
      </c>
      <c r="B3724" s="8" t="s">
        <v>13968</v>
      </c>
      <c r="C3724" s="8" t="s">
        <v>2274</v>
      </c>
      <c r="D3724" s="8" t="str">
        <f>"9789811951701"</f>
        <v>9789811951701</v>
      </c>
    </row>
    <row r="3725" spans="1:4" ht="30" x14ac:dyDescent="0.25">
      <c r="A3725" s="7" t="s">
        <v>4157</v>
      </c>
      <c r="B3725" s="8" t="s">
        <v>4158</v>
      </c>
      <c r="C3725" s="8" t="s">
        <v>1865</v>
      </c>
      <c r="D3725" s="8" t="str">
        <f>"9789176852101"</f>
        <v>9789176852101</v>
      </c>
    </row>
    <row r="3726" spans="1:4" x14ac:dyDescent="0.25">
      <c r="A3726" s="7" t="s">
        <v>14423</v>
      </c>
      <c r="B3726" s="8" t="s">
        <v>14417</v>
      </c>
      <c r="C3726" s="8" t="s">
        <v>1865</v>
      </c>
      <c r="D3726" s="8" t="str">
        <f>"9789179295387"</f>
        <v>9789179295387</v>
      </c>
    </row>
    <row r="3727" spans="1:4" x14ac:dyDescent="0.25">
      <c r="A3727" s="7" t="s">
        <v>15055</v>
      </c>
      <c r="B3727" s="8" t="s">
        <v>15056</v>
      </c>
      <c r="C3727" s="8" t="s">
        <v>1865</v>
      </c>
      <c r="D3727" s="8" t="str">
        <f>"9789175196145"</f>
        <v>9789175196145</v>
      </c>
    </row>
    <row r="3728" spans="1:4" ht="30" x14ac:dyDescent="0.25">
      <c r="A3728" s="7" t="s">
        <v>3137</v>
      </c>
      <c r="B3728" s="8" t="s">
        <v>3138</v>
      </c>
      <c r="C3728" s="8" t="s">
        <v>1345</v>
      </c>
      <c r="D3728" s="8" t="str">
        <f>"9783737602754"</f>
        <v>9783737602754</v>
      </c>
    </row>
    <row r="3729" spans="1:4" ht="30" x14ac:dyDescent="0.25">
      <c r="A3729" s="7" t="s">
        <v>10859</v>
      </c>
      <c r="B3729" s="8" t="s">
        <v>10860</v>
      </c>
      <c r="C3729" s="8" t="s">
        <v>2273</v>
      </c>
      <c r="D3729" s="8" t="str">
        <f>"9783030920968"</f>
        <v>9783030920968</v>
      </c>
    </row>
    <row r="3730" spans="1:4" x14ac:dyDescent="0.25">
      <c r="A3730" s="7" t="s">
        <v>9400</v>
      </c>
      <c r="B3730" s="8" t="s">
        <v>137</v>
      </c>
      <c r="C3730" s="8" t="s">
        <v>9256</v>
      </c>
      <c r="D3730" s="8" t="str">
        <f>"9788021097636"</f>
        <v>9788021097636</v>
      </c>
    </row>
    <row r="3731" spans="1:4" x14ac:dyDescent="0.25">
      <c r="A3731" s="7" t="s">
        <v>14012</v>
      </c>
      <c r="B3731" s="8" t="s">
        <v>14013</v>
      </c>
      <c r="C3731" s="8" t="s">
        <v>13997</v>
      </c>
      <c r="D3731" s="8" t="str">
        <f>"9789566095187"</f>
        <v>9789566095187</v>
      </c>
    </row>
    <row r="3732" spans="1:4" ht="30" x14ac:dyDescent="0.25">
      <c r="A3732" s="7" t="s">
        <v>4808</v>
      </c>
      <c r="B3732" s="8" t="s">
        <v>4809</v>
      </c>
      <c r="C3732" s="8" t="s">
        <v>1865</v>
      </c>
      <c r="D3732" s="8" t="str">
        <f>"9789179299262"</f>
        <v>9789179299262</v>
      </c>
    </row>
    <row r="3733" spans="1:4" ht="30" x14ac:dyDescent="0.25">
      <c r="A3733" s="7" t="s">
        <v>4149</v>
      </c>
      <c r="B3733" s="8" t="s">
        <v>4150</v>
      </c>
      <c r="C3733" s="8" t="s">
        <v>1865</v>
      </c>
      <c r="D3733" s="8" t="str">
        <f>"9789176851920"</f>
        <v>9789176851920</v>
      </c>
    </row>
    <row r="3734" spans="1:4" ht="30" x14ac:dyDescent="0.25">
      <c r="A3734" s="7" t="s">
        <v>3303</v>
      </c>
      <c r="B3734" s="8" t="s">
        <v>3304</v>
      </c>
      <c r="C3734" s="8" t="s">
        <v>1345</v>
      </c>
      <c r="D3734" s="8" t="str">
        <f>"9783737603577"</f>
        <v>9783737603577</v>
      </c>
    </row>
    <row r="3735" spans="1:4" x14ac:dyDescent="0.25">
      <c r="A3735" s="7" t="s">
        <v>3644</v>
      </c>
      <c r="B3735" s="8" t="s">
        <v>3645</v>
      </c>
      <c r="C3735" s="8" t="s">
        <v>1865</v>
      </c>
      <c r="D3735" s="8" t="str">
        <f>"9789176853207"</f>
        <v>9789176853207</v>
      </c>
    </row>
    <row r="3736" spans="1:4" x14ac:dyDescent="0.25">
      <c r="A3736" s="7" t="s">
        <v>14402</v>
      </c>
      <c r="B3736" s="8" t="s">
        <v>14403</v>
      </c>
      <c r="C3736" s="8" t="s">
        <v>1865</v>
      </c>
      <c r="D3736" s="8" t="str">
        <f>"9789179294939"</f>
        <v>9789179294939</v>
      </c>
    </row>
    <row r="3737" spans="1:4" ht="30" x14ac:dyDescent="0.25">
      <c r="A3737" s="7" t="s">
        <v>7380</v>
      </c>
      <c r="B3737" s="8" t="s">
        <v>7381</v>
      </c>
      <c r="C3737" s="8" t="s">
        <v>1865</v>
      </c>
      <c r="D3737" s="8" t="str">
        <f>"9789179296384"</f>
        <v>9789179296384</v>
      </c>
    </row>
    <row r="3738" spans="1:4" ht="30" x14ac:dyDescent="0.25">
      <c r="A3738" s="7" t="s">
        <v>4251</v>
      </c>
      <c r="B3738" s="8" t="s">
        <v>4252</v>
      </c>
      <c r="C3738" s="8" t="s">
        <v>1865</v>
      </c>
      <c r="D3738" s="8" t="str">
        <f>"9789176851647"</f>
        <v>9789176851647</v>
      </c>
    </row>
    <row r="3739" spans="1:4" x14ac:dyDescent="0.25">
      <c r="A3739" s="7" t="s">
        <v>9088</v>
      </c>
      <c r="B3739" s="8" t="s">
        <v>9089</v>
      </c>
      <c r="C3739" s="8" t="s">
        <v>2273</v>
      </c>
      <c r="D3739" s="8" t="str">
        <f>"9783030930356"</f>
        <v>9783030930356</v>
      </c>
    </row>
    <row r="3740" spans="1:4" ht="30" x14ac:dyDescent="0.25">
      <c r="A3740" s="7" t="s">
        <v>1711</v>
      </c>
      <c r="B3740" s="8" t="s">
        <v>1712</v>
      </c>
      <c r="C3740" s="8" t="s">
        <v>1345</v>
      </c>
      <c r="D3740" s="8" t="str">
        <f>"9783862192892"</f>
        <v>9783862192892</v>
      </c>
    </row>
    <row r="3741" spans="1:4" x14ac:dyDescent="0.25">
      <c r="A3741" s="7" t="s">
        <v>3281</v>
      </c>
      <c r="B3741" s="8" t="s">
        <v>3282</v>
      </c>
      <c r="C3741" s="8" t="s">
        <v>1053</v>
      </c>
      <c r="D3741" s="8" t="str">
        <f>"9781607325444"</f>
        <v>9781607325444</v>
      </c>
    </row>
    <row r="3742" spans="1:4" x14ac:dyDescent="0.25">
      <c r="A3742" s="7" t="s">
        <v>3190</v>
      </c>
      <c r="B3742" s="8" t="s">
        <v>3191</v>
      </c>
      <c r="C3742" s="8" t="s">
        <v>1865</v>
      </c>
      <c r="D3742" s="8" t="str">
        <f>"9789176855157"</f>
        <v>9789176855157</v>
      </c>
    </row>
    <row r="3743" spans="1:4" ht="30" x14ac:dyDescent="0.25">
      <c r="A3743" s="7" t="s">
        <v>15292</v>
      </c>
      <c r="B3743" s="8" t="s">
        <v>15293</v>
      </c>
      <c r="C3743" s="8" t="s">
        <v>1865</v>
      </c>
      <c r="D3743" s="8" t="str">
        <f>"9789175197814"</f>
        <v>9789175197814</v>
      </c>
    </row>
    <row r="3744" spans="1:4" x14ac:dyDescent="0.25">
      <c r="A3744" s="7" t="s">
        <v>6016</v>
      </c>
      <c r="B3744" s="8" t="s">
        <v>94</v>
      </c>
      <c r="C3744" s="8" t="s">
        <v>2273</v>
      </c>
      <c r="D3744" s="8" t="str">
        <f>"9783319393575"</f>
        <v>9783319393575</v>
      </c>
    </row>
    <row r="3745" spans="1:4" x14ac:dyDescent="0.25">
      <c r="A3745" s="7" t="s">
        <v>357</v>
      </c>
      <c r="B3745" s="8" t="s">
        <v>358</v>
      </c>
      <c r="C3745" s="8" t="s">
        <v>355</v>
      </c>
      <c r="D3745" s="8" t="str">
        <f>"9783110232271"</f>
        <v>9783110232271</v>
      </c>
    </row>
    <row r="3746" spans="1:4" x14ac:dyDescent="0.25">
      <c r="A3746" s="7" t="s">
        <v>3883</v>
      </c>
      <c r="B3746" s="8" t="s">
        <v>3884</v>
      </c>
      <c r="C3746" s="8" t="s">
        <v>355</v>
      </c>
      <c r="D3746" s="8" t="str">
        <f>"9783111356655"</f>
        <v>9783111356655</v>
      </c>
    </row>
    <row r="3747" spans="1:4" x14ac:dyDescent="0.25">
      <c r="A3747" s="7" t="s">
        <v>10921</v>
      </c>
      <c r="B3747" s="8" t="s">
        <v>10922</v>
      </c>
      <c r="C3747" s="8" t="s">
        <v>355</v>
      </c>
      <c r="D3747" s="8" t="str">
        <f>"9783110520965"</f>
        <v>9783110520965</v>
      </c>
    </row>
    <row r="3748" spans="1:4" x14ac:dyDescent="0.25">
      <c r="A3748" s="7" t="s">
        <v>10529</v>
      </c>
      <c r="B3748" s="8" t="s">
        <v>10530</v>
      </c>
      <c r="C3748" s="8" t="s">
        <v>993</v>
      </c>
      <c r="D3748" s="8" t="str">
        <f>"9783839458921"</f>
        <v>9783839458921</v>
      </c>
    </row>
    <row r="3749" spans="1:4" x14ac:dyDescent="0.25">
      <c r="A3749" s="7" t="s">
        <v>7844</v>
      </c>
      <c r="B3749" s="8" t="s">
        <v>7845</v>
      </c>
      <c r="C3749" s="8" t="s">
        <v>1962</v>
      </c>
      <c r="D3749" s="8" t="str">
        <f>"9782759232918"</f>
        <v>9782759232918</v>
      </c>
    </row>
    <row r="3750" spans="1:4" x14ac:dyDescent="0.25">
      <c r="A3750" s="7" t="s">
        <v>5404</v>
      </c>
      <c r="B3750" s="8" t="s">
        <v>5405</v>
      </c>
      <c r="C3750" s="8" t="s">
        <v>2273</v>
      </c>
      <c r="D3750" s="8" t="str">
        <f>"9783030546748"</f>
        <v>9783030546748</v>
      </c>
    </row>
    <row r="3751" spans="1:4" x14ac:dyDescent="0.25">
      <c r="A3751" s="7" t="s">
        <v>5736</v>
      </c>
      <c r="B3751" s="8" t="s">
        <v>5737</v>
      </c>
      <c r="C3751" s="8" t="s">
        <v>2273</v>
      </c>
      <c r="D3751" s="8" t="str">
        <f>"9783319713656"</f>
        <v>9783319713656</v>
      </c>
    </row>
    <row r="3752" spans="1:4" x14ac:dyDescent="0.25">
      <c r="A3752" s="7" t="s">
        <v>11339</v>
      </c>
      <c r="B3752" s="8" t="s">
        <v>11340</v>
      </c>
      <c r="C3752" s="8" t="s">
        <v>355</v>
      </c>
      <c r="D3752" s="8" t="str">
        <f>"9783111493022"</f>
        <v>9783111493022</v>
      </c>
    </row>
    <row r="3753" spans="1:4" x14ac:dyDescent="0.25">
      <c r="A3753" s="7" t="s">
        <v>9844</v>
      </c>
      <c r="B3753" s="8" t="s">
        <v>9845</v>
      </c>
      <c r="C3753" s="8" t="s">
        <v>993</v>
      </c>
      <c r="D3753" s="8" t="str">
        <f>"9783839406472"</f>
        <v>9783839406472</v>
      </c>
    </row>
    <row r="3754" spans="1:4" x14ac:dyDescent="0.25">
      <c r="A3754" s="7" t="s">
        <v>7731</v>
      </c>
      <c r="B3754" s="8" t="s">
        <v>7732</v>
      </c>
      <c r="C3754" s="8" t="s">
        <v>993</v>
      </c>
      <c r="D3754" s="8" t="str">
        <f>"9783839429969"</f>
        <v>9783839429969</v>
      </c>
    </row>
    <row r="3755" spans="1:4" x14ac:dyDescent="0.25">
      <c r="A3755" s="7" t="s">
        <v>10344</v>
      </c>
      <c r="B3755" s="8" t="s">
        <v>10345</v>
      </c>
      <c r="C3755" s="8" t="s">
        <v>993</v>
      </c>
      <c r="D3755" s="8" t="str">
        <f>"9783839449820"</f>
        <v>9783839449820</v>
      </c>
    </row>
    <row r="3756" spans="1:4" ht="30" x14ac:dyDescent="0.25">
      <c r="A3756" s="7" t="s">
        <v>8269</v>
      </c>
      <c r="B3756" s="8" t="s">
        <v>8270</v>
      </c>
      <c r="C3756" s="8" t="s">
        <v>993</v>
      </c>
      <c r="D3756" s="8" t="str">
        <f>"9783839451649"</f>
        <v>9783839451649</v>
      </c>
    </row>
    <row r="3757" spans="1:4" ht="30" x14ac:dyDescent="0.25">
      <c r="A3757" s="7" t="s">
        <v>10033</v>
      </c>
      <c r="B3757" s="8" t="s">
        <v>10034</v>
      </c>
      <c r="C3757" s="8" t="s">
        <v>993</v>
      </c>
      <c r="D3757" s="8" t="str">
        <f>"9783839411117"</f>
        <v>9783839411117</v>
      </c>
    </row>
    <row r="3758" spans="1:4" ht="30" x14ac:dyDescent="0.25">
      <c r="A3758" s="7" t="s">
        <v>8405</v>
      </c>
      <c r="B3758" s="8" t="s">
        <v>8406</v>
      </c>
      <c r="C3758" s="8" t="s">
        <v>993</v>
      </c>
      <c r="D3758" s="8" t="str">
        <f>"9783839455890"</f>
        <v>9783839455890</v>
      </c>
    </row>
    <row r="3759" spans="1:4" x14ac:dyDescent="0.25">
      <c r="A3759" s="7" t="s">
        <v>3979</v>
      </c>
      <c r="B3759" s="8" t="s">
        <v>3980</v>
      </c>
      <c r="C3759" s="8" t="s">
        <v>316</v>
      </c>
      <c r="D3759" s="8" t="str">
        <f>"9783110464979"</f>
        <v>9783110464979</v>
      </c>
    </row>
    <row r="3760" spans="1:4" x14ac:dyDescent="0.25">
      <c r="A3760" s="7" t="s">
        <v>9926</v>
      </c>
      <c r="B3760" s="8" t="s">
        <v>9927</v>
      </c>
      <c r="C3760" s="8" t="s">
        <v>993</v>
      </c>
      <c r="D3760" s="8" t="str">
        <f>"9783839408261"</f>
        <v>9783839408261</v>
      </c>
    </row>
    <row r="3761" spans="1:4" x14ac:dyDescent="0.25">
      <c r="A3761" s="7" t="s">
        <v>16153</v>
      </c>
      <c r="B3761" s="8" t="s">
        <v>3164</v>
      </c>
      <c r="C3761" s="8" t="s">
        <v>1865</v>
      </c>
      <c r="D3761" s="8" t="str">
        <f>"9789176859414"</f>
        <v>9789176859414</v>
      </c>
    </row>
    <row r="3762" spans="1:4" x14ac:dyDescent="0.25">
      <c r="A3762" s="7" t="s">
        <v>3333</v>
      </c>
      <c r="B3762" s="8" t="s">
        <v>3334</v>
      </c>
      <c r="C3762" s="8" t="s">
        <v>1865</v>
      </c>
      <c r="D3762" s="8" t="str">
        <f>"9789176854341"</f>
        <v>9789176854341</v>
      </c>
    </row>
    <row r="3763" spans="1:4" x14ac:dyDescent="0.25">
      <c r="A3763" s="7" t="s">
        <v>8675</v>
      </c>
      <c r="B3763" s="8" t="s">
        <v>8676</v>
      </c>
      <c r="C3763" s="8" t="s">
        <v>1865</v>
      </c>
      <c r="D3763" s="8" t="str">
        <f>"9789179290610"</f>
        <v>9789179290610</v>
      </c>
    </row>
    <row r="3764" spans="1:4" x14ac:dyDescent="0.25">
      <c r="A3764" s="7" t="s">
        <v>4535</v>
      </c>
      <c r="B3764" s="8" t="s">
        <v>2758</v>
      </c>
      <c r="C3764" s="8" t="s">
        <v>1879</v>
      </c>
      <c r="D3764" s="8" t="str">
        <f>"9781783745180"</f>
        <v>9781783745180</v>
      </c>
    </row>
    <row r="3765" spans="1:4" x14ac:dyDescent="0.25">
      <c r="A3765" s="7" t="s">
        <v>8077</v>
      </c>
      <c r="B3765" s="8" t="s">
        <v>8078</v>
      </c>
      <c r="C3765" s="8" t="s">
        <v>993</v>
      </c>
      <c r="D3765" s="8" t="str">
        <f>"9783839452462"</f>
        <v>9783839452462</v>
      </c>
    </row>
    <row r="3766" spans="1:4" x14ac:dyDescent="0.25">
      <c r="A3766" s="7" t="s">
        <v>9806</v>
      </c>
      <c r="B3766" s="8" t="s">
        <v>9807</v>
      </c>
      <c r="C3766" s="8" t="s">
        <v>993</v>
      </c>
      <c r="D3766" s="8" t="str">
        <f>"9783839405048"</f>
        <v>9783839405048</v>
      </c>
    </row>
    <row r="3767" spans="1:4" ht="30" x14ac:dyDescent="0.25">
      <c r="A3767" s="7" t="s">
        <v>8160</v>
      </c>
      <c r="B3767" s="8" t="s">
        <v>8161</v>
      </c>
      <c r="C3767" s="8" t="s">
        <v>993</v>
      </c>
      <c r="D3767" s="8" t="str">
        <f>"9783839448816"</f>
        <v>9783839448816</v>
      </c>
    </row>
    <row r="3768" spans="1:4" ht="30" x14ac:dyDescent="0.25">
      <c r="A3768" s="7" t="s">
        <v>3308</v>
      </c>
      <c r="B3768" s="8" t="s">
        <v>3309</v>
      </c>
      <c r="C3768" s="8" t="s">
        <v>1345</v>
      </c>
      <c r="D3768" s="8" t="str">
        <f>"9783737603591"</f>
        <v>9783737603591</v>
      </c>
    </row>
    <row r="3769" spans="1:4" x14ac:dyDescent="0.25">
      <c r="A3769" s="7" t="s">
        <v>4355</v>
      </c>
      <c r="B3769" s="8" t="s">
        <v>4356</v>
      </c>
      <c r="C3769" s="8" t="s">
        <v>1865</v>
      </c>
      <c r="D3769" s="8" t="str">
        <f>"9789176851357"</f>
        <v>9789176851357</v>
      </c>
    </row>
    <row r="3770" spans="1:4" x14ac:dyDescent="0.25">
      <c r="A3770" s="7" t="s">
        <v>7501</v>
      </c>
      <c r="B3770" s="8" t="s">
        <v>7502</v>
      </c>
      <c r="C3770" s="8" t="s">
        <v>993</v>
      </c>
      <c r="D3770" s="8" t="str">
        <f>"9783839444269"</f>
        <v>9783839444269</v>
      </c>
    </row>
    <row r="3771" spans="1:4" x14ac:dyDescent="0.25">
      <c r="A3771" s="7" t="s">
        <v>7491</v>
      </c>
      <c r="B3771" s="8" t="s">
        <v>7492</v>
      </c>
      <c r="C3771" s="8" t="s">
        <v>993</v>
      </c>
      <c r="D3771" s="8" t="str">
        <f>"9783839439562"</f>
        <v>9783839439562</v>
      </c>
    </row>
    <row r="3772" spans="1:4" x14ac:dyDescent="0.25">
      <c r="A3772" s="7" t="s">
        <v>2261</v>
      </c>
      <c r="B3772" s="8" t="s">
        <v>2262</v>
      </c>
      <c r="C3772" s="8" t="s">
        <v>316</v>
      </c>
      <c r="D3772" s="8" t="str">
        <f>"9783110376616"</f>
        <v>9783110376616</v>
      </c>
    </row>
    <row r="3773" spans="1:4" x14ac:dyDescent="0.25">
      <c r="A3773" s="7" t="s">
        <v>10528</v>
      </c>
      <c r="B3773" s="8" t="s">
        <v>17</v>
      </c>
      <c r="C3773" s="8" t="s">
        <v>993</v>
      </c>
      <c r="D3773" s="8" t="str">
        <f>"9783839458877"</f>
        <v>9783839458877</v>
      </c>
    </row>
    <row r="3774" spans="1:4" x14ac:dyDescent="0.25">
      <c r="A3774" s="7" t="s">
        <v>15546</v>
      </c>
      <c r="B3774" s="8" t="s">
        <v>15547</v>
      </c>
      <c r="C3774" s="8" t="s">
        <v>1865</v>
      </c>
      <c r="D3774" s="8" t="str">
        <f>"9789176850398"</f>
        <v>9789176850398</v>
      </c>
    </row>
    <row r="3775" spans="1:4" x14ac:dyDescent="0.25">
      <c r="A3775" s="7" t="s">
        <v>4338</v>
      </c>
      <c r="B3775" s="8" t="s">
        <v>4339</v>
      </c>
      <c r="C3775" s="8" t="s">
        <v>329</v>
      </c>
      <c r="D3775" s="8" t="str">
        <f>"9789048540006"</f>
        <v>9789048540006</v>
      </c>
    </row>
    <row r="3776" spans="1:4" ht="30" x14ac:dyDescent="0.25">
      <c r="A3776" s="7" t="s">
        <v>3257</v>
      </c>
      <c r="B3776" s="8" t="s">
        <v>3258</v>
      </c>
      <c r="C3776" s="8" t="s">
        <v>1036</v>
      </c>
      <c r="D3776" s="8" t="str">
        <f>"9789027265890"</f>
        <v>9789027265890</v>
      </c>
    </row>
    <row r="3777" spans="1:4" ht="30" x14ac:dyDescent="0.25">
      <c r="A3777" s="7" t="s">
        <v>11918</v>
      </c>
      <c r="B3777" s="8" t="s">
        <v>11919</v>
      </c>
      <c r="C3777" s="8" t="s">
        <v>355</v>
      </c>
      <c r="D3777" s="8" t="str">
        <f>"9783111707884"</f>
        <v>9783111707884</v>
      </c>
    </row>
    <row r="3778" spans="1:4" ht="30" x14ac:dyDescent="0.25">
      <c r="A3778" s="7" t="s">
        <v>13611</v>
      </c>
      <c r="B3778" s="8" t="s">
        <v>13612</v>
      </c>
      <c r="C3778" s="8" t="s">
        <v>2273</v>
      </c>
      <c r="D3778" s="8" t="str">
        <f>"9783031140099"</f>
        <v>9783031140099</v>
      </c>
    </row>
    <row r="3779" spans="1:4" ht="30" x14ac:dyDescent="0.25">
      <c r="A3779" s="7" t="s">
        <v>4647</v>
      </c>
      <c r="B3779" s="8" t="s">
        <v>4648</v>
      </c>
      <c r="C3779" s="8" t="s">
        <v>1865</v>
      </c>
      <c r="D3779" s="8" t="str">
        <f>"9789179299897"</f>
        <v>9789179299897</v>
      </c>
    </row>
    <row r="3780" spans="1:4" x14ac:dyDescent="0.25">
      <c r="A3780" s="7" t="s">
        <v>2075</v>
      </c>
      <c r="B3780" s="8" t="s">
        <v>2076</v>
      </c>
      <c r="C3780" s="8" t="s">
        <v>2073</v>
      </c>
      <c r="D3780" s="8" t="str">
        <f>"9781438453125"</f>
        <v>9781438453125</v>
      </c>
    </row>
    <row r="3781" spans="1:4" x14ac:dyDescent="0.25">
      <c r="A3781" s="7" t="s">
        <v>2365</v>
      </c>
      <c r="B3781" s="8" t="s">
        <v>2366</v>
      </c>
      <c r="C3781" s="8" t="s">
        <v>1345</v>
      </c>
      <c r="D3781" s="8" t="str">
        <f>"9783862198832"</f>
        <v>9783862198832</v>
      </c>
    </row>
    <row r="3782" spans="1:4" ht="30" x14ac:dyDescent="0.25">
      <c r="A3782" s="7" t="s">
        <v>5370</v>
      </c>
      <c r="B3782" s="8" t="s">
        <v>5371</v>
      </c>
      <c r="C3782" s="8" t="s">
        <v>1865</v>
      </c>
      <c r="D3782" s="8" t="str">
        <f>"9789179297879"</f>
        <v>9789179297879</v>
      </c>
    </row>
    <row r="3783" spans="1:4" ht="30" x14ac:dyDescent="0.25">
      <c r="A3783" s="7" t="s">
        <v>14964</v>
      </c>
      <c r="B3783" s="8" t="s">
        <v>14965</v>
      </c>
      <c r="C3783" s="8" t="s">
        <v>1865</v>
      </c>
      <c r="D3783" s="8" t="str">
        <f>"9789175197340"</f>
        <v>9789175197340</v>
      </c>
    </row>
    <row r="3784" spans="1:4" x14ac:dyDescent="0.25">
      <c r="A3784" s="7" t="s">
        <v>5544</v>
      </c>
      <c r="B3784" s="8"/>
      <c r="C3784" s="8"/>
      <c r="D3784" s="8"/>
    </row>
    <row r="3785" spans="1:4" ht="30" x14ac:dyDescent="0.25">
      <c r="A3785" s="7" t="s">
        <v>16145</v>
      </c>
      <c r="B3785" s="8" t="s">
        <v>16146</v>
      </c>
      <c r="C3785" s="8" t="s">
        <v>1865</v>
      </c>
      <c r="D3785" s="8" t="str">
        <f>"9789175197364"</f>
        <v>9789175197364</v>
      </c>
    </row>
    <row r="3786" spans="1:4" x14ac:dyDescent="0.25">
      <c r="A3786" s="7" t="s">
        <v>2468</v>
      </c>
      <c r="B3786" s="8" t="s">
        <v>2469</v>
      </c>
      <c r="C3786" s="8" t="s">
        <v>1865</v>
      </c>
      <c r="D3786" s="8" t="str">
        <f>"9789176858882"</f>
        <v>9789176858882</v>
      </c>
    </row>
    <row r="3787" spans="1:4" x14ac:dyDescent="0.25">
      <c r="A3787" s="7" t="s">
        <v>5136</v>
      </c>
      <c r="B3787" s="8" t="s">
        <v>5137</v>
      </c>
      <c r="C3787" s="8" t="s">
        <v>1865</v>
      </c>
      <c r="D3787" s="8" t="str">
        <f>"9789179298197"</f>
        <v>9789179298197</v>
      </c>
    </row>
    <row r="3788" spans="1:4" ht="30" x14ac:dyDescent="0.25">
      <c r="A3788" s="7" t="s">
        <v>16047</v>
      </c>
      <c r="B3788" s="8" t="s">
        <v>16048</v>
      </c>
      <c r="C3788" s="8" t="s">
        <v>1865</v>
      </c>
      <c r="D3788" s="8" t="str">
        <f>"9789175197876"</f>
        <v>9789175197876</v>
      </c>
    </row>
    <row r="3789" spans="1:4" ht="30" x14ac:dyDescent="0.25">
      <c r="A3789" s="7" t="s">
        <v>3356</v>
      </c>
      <c r="B3789" s="8" t="s">
        <v>3357</v>
      </c>
      <c r="C3789" s="8" t="s">
        <v>1865</v>
      </c>
      <c r="D3789" s="8" t="str">
        <f>"9789176854433"</f>
        <v>9789176854433</v>
      </c>
    </row>
    <row r="3790" spans="1:4" x14ac:dyDescent="0.25">
      <c r="A3790" s="7" t="s">
        <v>15904</v>
      </c>
      <c r="B3790" s="8" t="s">
        <v>15905</v>
      </c>
      <c r="C3790" s="8" t="s">
        <v>1865</v>
      </c>
      <c r="D3790" s="8" t="str">
        <f>"9789175198552"</f>
        <v>9789175198552</v>
      </c>
    </row>
    <row r="3791" spans="1:4" x14ac:dyDescent="0.25">
      <c r="A3791" s="7" t="s">
        <v>8069</v>
      </c>
      <c r="B3791" s="8" t="s">
        <v>8070</v>
      </c>
      <c r="C3791" s="8" t="s">
        <v>1865</v>
      </c>
      <c r="D3791" s="8" t="str">
        <f>"9789179296551"</f>
        <v>9789179296551</v>
      </c>
    </row>
    <row r="3792" spans="1:4" x14ac:dyDescent="0.25">
      <c r="A3792" s="7" t="s">
        <v>6151</v>
      </c>
      <c r="B3792" s="8" t="s">
        <v>6152</v>
      </c>
      <c r="C3792" s="8" t="s">
        <v>4245</v>
      </c>
      <c r="D3792" s="8" t="str">
        <f>"9789812873811"</f>
        <v>9789812873811</v>
      </c>
    </row>
    <row r="3793" spans="1:4" ht="30" x14ac:dyDescent="0.25">
      <c r="A3793" s="7" t="s">
        <v>1363</v>
      </c>
      <c r="B3793" s="8" t="s">
        <v>1364</v>
      </c>
      <c r="C3793" s="8" t="s">
        <v>1345</v>
      </c>
      <c r="D3793" s="8" t="str">
        <f>"9783862190874"</f>
        <v>9783862190874</v>
      </c>
    </row>
    <row r="3794" spans="1:4" ht="30" x14ac:dyDescent="0.25">
      <c r="A3794" s="7" t="s">
        <v>3638</v>
      </c>
      <c r="B3794" s="8" t="s">
        <v>3639</v>
      </c>
      <c r="C3794" s="8" t="s">
        <v>1865</v>
      </c>
      <c r="D3794" s="8" t="str">
        <f>"9789176853313"</f>
        <v>9789176853313</v>
      </c>
    </row>
    <row r="3795" spans="1:4" x14ac:dyDescent="0.25">
      <c r="A3795" s="7" t="s">
        <v>8003</v>
      </c>
      <c r="B3795" s="8" t="s">
        <v>8004</v>
      </c>
      <c r="C3795" s="8" t="s">
        <v>1962</v>
      </c>
      <c r="D3795" s="8" t="str">
        <f>"9782759227051"</f>
        <v>9782759227051</v>
      </c>
    </row>
    <row r="3796" spans="1:4" x14ac:dyDescent="0.25">
      <c r="A3796" s="7" t="s">
        <v>5946</v>
      </c>
      <c r="B3796" s="8" t="s">
        <v>5947</v>
      </c>
      <c r="C3796" s="8" t="s">
        <v>5107</v>
      </c>
      <c r="D3796" s="8" t="str">
        <f>"9784431555377"</f>
        <v>9784431555377</v>
      </c>
    </row>
    <row r="3797" spans="1:4" x14ac:dyDescent="0.25">
      <c r="A3797" s="7" t="s">
        <v>9192</v>
      </c>
      <c r="B3797" s="8" t="s">
        <v>9193</v>
      </c>
      <c r="C3797" s="8" t="s">
        <v>4882</v>
      </c>
      <c r="D3797" s="8" t="str">
        <f>"9781781385623"</f>
        <v>9781781385623</v>
      </c>
    </row>
    <row r="3798" spans="1:4" x14ac:dyDescent="0.25">
      <c r="A3798" s="7" t="s">
        <v>10966</v>
      </c>
      <c r="B3798" s="8" t="s">
        <v>10967</v>
      </c>
      <c r="C3798" s="8" t="s">
        <v>9138</v>
      </c>
      <c r="D3798" s="8" t="str">
        <f>"9780520972230"</f>
        <v>9780520972230</v>
      </c>
    </row>
    <row r="3799" spans="1:4" ht="30" x14ac:dyDescent="0.25">
      <c r="A3799" s="7" t="s">
        <v>15368</v>
      </c>
      <c r="B3799" s="8" t="s">
        <v>15369</v>
      </c>
      <c r="C3799" s="8" t="s">
        <v>1865</v>
      </c>
      <c r="D3799" s="8" t="str">
        <f>"9789175190433"</f>
        <v>9789175190433</v>
      </c>
    </row>
    <row r="3800" spans="1:4" ht="30" x14ac:dyDescent="0.25">
      <c r="A3800" s="7" t="s">
        <v>15845</v>
      </c>
      <c r="B3800" s="8" t="s">
        <v>15846</v>
      </c>
      <c r="C3800" s="8" t="s">
        <v>1865</v>
      </c>
      <c r="D3800" s="8" t="str">
        <f>"9789175192901"</f>
        <v>9789175192901</v>
      </c>
    </row>
    <row r="3801" spans="1:4" ht="30" x14ac:dyDescent="0.25">
      <c r="A3801" s="7" t="s">
        <v>8063</v>
      </c>
      <c r="B3801" s="8" t="s">
        <v>8064</v>
      </c>
      <c r="C3801" s="8" t="s">
        <v>1865</v>
      </c>
      <c r="D3801" s="8" t="str">
        <f>"9789179296391"</f>
        <v>9789179296391</v>
      </c>
    </row>
    <row r="3802" spans="1:4" ht="30" x14ac:dyDescent="0.25">
      <c r="A3802" s="7" t="s">
        <v>5494</v>
      </c>
      <c r="B3802" s="8" t="s">
        <v>5495</v>
      </c>
      <c r="C3802" s="8" t="s">
        <v>2273</v>
      </c>
      <c r="D3802" s="8" t="str">
        <f>"9783030570392"</f>
        <v>9783030570392</v>
      </c>
    </row>
    <row r="3803" spans="1:4" ht="30" x14ac:dyDescent="0.25">
      <c r="A3803" s="7" t="s">
        <v>3265</v>
      </c>
      <c r="B3803" s="8" t="s">
        <v>3266</v>
      </c>
      <c r="C3803" s="8" t="s">
        <v>1865</v>
      </c>
      <c r="D3803" s="8" t="str">
        <f>"9789176854693"</f>
        <v>9789176854693</v>
      </c>
    </row>
    <row r="3804" spans="1:4" x14ac:dyDescent="0.25">
      <c r="A3804" s="7" t="s">
        <v>6878</v>
      </c>
      <c r="B3804" s="8" t="s">
        <v>6879</v>
      </c>
      <c r="C3804" s="8" t="s">
        <v>2273</v>
      </c>
      <c r="D3804" s="8" t="str">
        <f>"9783030705169"</f>
        <v>9783030705169</v>
      </c>
    </row>
    <row r="3805" spans="1:4" x14ac:dyDescent="0.25">
      <c r="A3805" s="7" t="s">
        <v>248</v>
      </c>
      <c r="B3805" s="8" t="s">
        <v>249</v>
      </c>
      <c r="C3805" s="8" t="s">
        <v>227</v>
      </c>
      <c r="D3805" s="8" t="str">
        <f>"9781847790279"</f>
        <v>9781847790279</v>
      </c>
    </row>
    <row r="3806" spans="1:4" ht="30" x14ac:dyDescent="0.25">
      <c r="A3806" s="7" t="s">
        <v>10719</v>
      </c>
      <c r="B3806" s="8" t="s">
        <v>10720</v>
      </c>
      <c r="C3806" s="8" t="s">
        <v>1332</v>
      </c>
      <c r="D3806" s="8" t="str">
        <f>"9781789062595"</f>
        <v>9781789062595</v>
      </c>
    </row>
    <row r="3807" spans="1:4" x14ac:dyDescent="0.25">
      <c r="A3807" s="7" t="s">
        <v>4497</v>
      </c>
      <c r="B3807" s="8" t="s">
        <v>4498</v>
      </c>
      <c r="C3807" s="8" t="s">
        <v>1865</v>
      </c>
      <c r="D3807" s="8" t="str">
        <f>"9789176850794"</f>
        <v>9789176850794</v>
      </c>
    </row>
    <row r="3808" spans="1:4" ht="30" x14ac:dyDescent="0.25">
      <c r="A3808" s="7" t="s">
        <v>16353</v>
      </c>
      <c r="B3808" s="8" t="s">
        <v>16354</v>
      </c>
      <c r="C3808" s="8" t="s">
        <v>1865</v>
      </c>
      <c r="D3808" s="8" t="str">
        <f>"9789176858677"</f>
        <v>9789176858677</v>
      </c>
    </row>
    <row r="3809" spans="1:4" x14ac:dyDescent="0.25">
      <c r="A3809" s="7" t="s">
        <v>4913</v>
      </c>
      <c r="B3809" s="8" t="s">
        <v>4914</v>
      </c>
      <c r="C3809" s="8" t="s">
        <v>1865</v>
      </c>
      <c r="D3809" s="8" t="str">
        <f>"9789179298630"</f>
        <v>9789179298630</v>
      </c>
    </row>
    <row r="3810" spans="1:4" ht="30" x14ac:dyDescent="0.25">
      <c r="A3810" s="7" t="s">
        <v>14922</v>
      </c>
      <c r="B3810" s="8" t="s">
        <v>2845</v>
      </c>
      <c r="C3810" s="8" t="s">
        <v>1865</v>
      </c>
      <c r="D3810" s="8" t="str">
        <f>"9789175195957"</f>
        <v>9789175195957</v>
      </c>
    </row>
    <row r="3811" spans="1:4" x14ac:dyDescent="0.25">
      <c r="A3811" s="7" t="s">
        <v>16316</v>
      </c>
      <c r="B3811" s="8" t="s">
        <v>16317</v>
      </c>
      <c r="C3811" s="8" t="s">
        <v>1865</v>
      </c>
      <c r="D3811" s="8" t="str">
        <f>"9789175193670"</f>
        <v>9789175193670</v>
      </c>
    </row>
    <row r="3812" spans="1:4" x14ac:dyDescent="0.25">
      <c r="A3812" s="7" t="s">
        <v>4944</v>
      </c>
      <c r="B3812" s="8" t="s">
        <v>4945</v>
      </c>
      <c r="C3812" s="8" t="s">
        <v>1865</v>
      </c>
      <c r="D3812" s="8" t="str">
        <f>"9789179298739"</f>
        <v>9789179298739</v>
      </c>
    </row>
    <row r="3813" spans="1:4" x14ac:dyDescent="0.25">
      <c r="A3813" s="7" t="s">
        <v>5574</v>
      </c>
      <c r="B3813" s="8" t="s">
        <v>5575</v>
      </c>
      <c r="C3813" s="8" t="s">
        <v>2273</v>
      </c>
      <c r="D3813" s="8" t="str">
        <f>"9783030590314"</f>
        <v>9783030590314</v>
      </c>
    </row>
    <row r="3814" spans="1:4" x14ac:dyDescent="0.25">
      <c r="A3814" s="7" t="s">
        <v>4421</v>
      </c>
      <c r="B3814" s="8" t="s">
        <v>4422</v>
      </c>
      <c r="C3814" s="8" t="s">
        <v>1865</v>
      </c>
      <c r="D3814" s="8" t="str">
        <f>"9789176850985"</f>
        <v>9789176850985</v>
      </c>
    </row>
    <row r="3815" spans="1:4" ht="30" x14ac:dyDescent="0.25">
      <c r="A3815" s="7" t="s">
        <v>2482</v>
      </c>
      <c r="B3815" s="8" t="s">
        <v>2483</v>
      </c>
      <c r="C3815" s="8" t="s">
        <v>1865</v>
      </c>
      <c r="D3815" s="8" t="str">
        <f>"9789176859681"</f>
        <v>9789176859681</v>
      </c>
    </row>
    <row r="3816" spans="1:4" ht="30" x14ac:dyDescent="0.25">
      <c r="A3816" s="7" t="s">
        <v>3610</v>
      </c>
      <c r="B3816" s="8" t="s">
        <v>3611</v>
      </c>
      <c r="C3816" s="8" t="s">
        <v>1345</v>
      </c>
      <c r="D3816" s="8" t="str">
        <f>"9783737604437"</f>
        <v>9783737604437</v>
      </c>
    </row>
    <row r="3817" spans="1:4" x14ac:dyDescent="0.25">
      <c r="A3817" s="7" t="s">
        <v>4877</v>
      </c>
      <c r="B3817" s="8" t="s">
        <v>4878</v>
      </c>
      <c r="C3817" s="8" t="s">
        <v>1865</v>
      </c>
      <c r="D3817" s="8" t="str">
        <f>"9789179299521"</f>
        <v>9789179299521</v>
      </c>
    </row>
    <row r="3818" spans="1:4" ht="30" x14ac:dyDescent="0.25">
      <c r="A3818" s="7" t="s">
        <v>3089</v>
      </c>
      <c r="B3818" s="8" t="s">
        <v>3090</v>
      </c>
      <c r="C3818" s="8" t="s">
        <v>1865</v>
      </c>
      <c r="D3818" s="8" t="str">
        <f>"9789176855584"</f>
        <v>9789176855584</v>
      </c>
    </row>
    <row r="3819" spans="1:4" x14ac:dyDescent="0.25">
      <c r="A3819" s="7" t="s">
        <v>7891</v>
      </c>
      <c r="B3819" s="8" t="s">
        <v>7892</v>
      </c>
      <c r="C3819" s="8" t="s">
        <v>2273</v>
      </c>
      <c r="D3819" s="8" t="str">
        <f>"9783030806583"</f>
        <v>9783030806583</v>
      </c>
    </row>
    <row r="3820" spans="1:4" ht="30" x14ac:dyDescent="0.25">
      <c r="A3820" s="7" t="s">
        <v>7409</v>
      </c>
      <c r="B3820" s="8" t="s">
        <v>7410</v>
      </c>
      <c r="C3820" s="8" t="s">
        <v>2273</v>
      </c>
      <c r="D3820" s="8" t="str">
        <f>"9783030706616"</f>
        <v>9783030706616</v>
      </c>
    </row>
    <row r="3821" spans="1:4" ht="30" x14ac:dyDescent="0.25">
      <c r="A3821" s="7" t="s">
        <v>3202</v>
      </c>
      <c r="B3821" s="8" t="s">
        <v>3203</v>
      </c>
      <c r="C3821" s="8" t="s">
        <v>1865</v>
      </c>
      <c r="D3821" s="8" t="str">
        <f>"9789176855775"</f>
        <v>9789176855775</v>
      </c>
    </row>
    <row r="3822" spans="1:4" x14ac:dyDescent="0.25">
      <c r="A3822" s="7" t="s">
        <v>12214</v>
      </c>
      <c r="B3822" s="8" t="s">
        <v>12215</v>
      </c>
      <c r="C3822" s="8" t="s">
        <v>2273</v>
      </c>
      <c r="D3822" s="8" t="str">
        <f>"9783030960537"</f>
        <v>9783030960537</v>
      </c>
    </row>
    <row r="3823" spans="1:4" x14ac:dyDescent="0.25">
      <c r="A3823" s="7" t="s">
        <v>8807</v>
      </c>
      <c r="B3823" s="8" t="s">
        <v>8808</v>
      </c>
      <c r="C3823" s="8" t="s">
        <v>8805</v>
      </c>
      <c r="D3823" s="8" t="str">
        <f>"9781934831175"</f>
        <v>9781934831175</v>
      </c>
    </row>
    <row r="3824" spans="1:4" x14ac:dyDescent="0.25">
      <c r="A3824" s="7" t="s">
        <v>6313</v>
      </c>
      <c r="B3824" s="8" t="s">
        <v>6314</v>
      </c>
      <c r="C3824" s="8" t="s">
        <v>2273</v>
      </c>
      <c r="D3824" s="8" t="str">
        <f>"9783030591977"</f>
        <v>9783030591977</v>
      </c>
    </row>
    <row r="3825" spans="1:4" x14ac:dyDescent="0.25">
      <c r="A3825" s="7" t="s">
        <v>6066</v>
      </c>
      <c r="B3825" s="8" t="s">
        <v>5433</v>
      </c>
      <c r="C3825" s="8" t="s">
        <v>2273</v>
      </c>
      <c r="D3825" s="8" t="str">
        <f>"9783319548135"</f>
        <v>9783319548135</v>
      </c>
    </row>
    <row r="3826" spans="1:4" ht="30" x14ac:dyDescent="0.25">
      <c r="A3826" s="7" t="s">
        <v>4546</v>
      </c>
      <c r="B3826" s="8" t="s">
        <v>4547</v>
      </c>
      <c r="C3826" s="8" t="s">
        <v>1865</v>
      </c>
      <c r="D3826" s="8" t="str">
        <f>"9789176850039"</f>
        <v>9789176850039</v>
      </c>
    </row>
    <row r="3827" spans="1:4" x14ac:dyDescent="0.25">
      <c r="A3827" s="7" t="s">
        <v>10983</v>
      </c>
      <c r="B3827" s="8" t="s">
        <v>10984</v>
      </c>
      <c r="C3827" s="8" t="s">
        <v>993</v>
      </c>
      <c r="D3827" s="8" t="str">
        <f>"9783839426111"</f>
        <v>9783839426111</v>
      </c>
    </row>
    <row r="3828" spans="1:4" x14ac:dyDescent="0.25">
      <c r="A3828" s="7" t="s">
        <v>909</v>
      </c>
      <c r="B3828" s="8" t="s">
        <v>910</v>
      </c>
      <c r="C3828" s="8" t="s">
        <v>329</v>
      </c>
      <c r="D3828" s="8" t="str">
        <f>"9789048518425"</f>
        <v>9789048518425</v>
      </c>
    </row>
    <row r="3829" spans="1:4" x14ac:dyDescent="0.25">
      <c r="A3829" s="7" t="s">
        <v>10703</v>
      </c>
      <c r="B3829" s="8" t="s">
        <v>10704</v>
      </c>
      <c r="C3829" s="8" t="s">
        <v>4882</v>
      </c>
      <c r="D3829" s="8" t="str">
        <f>"9781800344808"</f>
        <v>9781800344808</v>
      </c>
    </row>
    <row r="3830" spans="1:4" x14ac:dyDescent="0.25">
      <c r="A3830" s="7" t="s">
        <v>8968</v>
      </c>
      <c r="B3830" s="8" t="s">
        <v>8969</v>
      </c>
      <c r="C3830" s="8" t="s">
        <v>2082</v>
      </c>
      <c r="D3830" s="8" t="str">
        <f>"9780472902644"</f>
        <v>9780472902644</v>
      </c>
    </row>
    <row r="3831" spans="1:4" x14ac:dyDescent="0.25">
      <c r="A3831" s="7" t="s">
        <v>6726</v>
      </c>
      <c r="B3831" s="8" t="s">
        <v>6727</v>
      </c>
      <c r="C3831" s="8" t="s">
        <v>2082</v>
      </c>
      <c r="D3831" s="8" t="str">
        <f>"9780472901142"</f>
        <v>9780472901142</v>
      </c>
    </row>
    <row r="3832" spans="1:4" ht="30" x14ac:dyDescent="0.25">
      <c r="A3832" s="7" t="s">
        <v>11910</v>
      </c>
      <c r="B3832" s="8" t="s">
        <v>11715</v>
      </c>
      <c r="C3832" s="8" t="s">
        <v>355</v>
      </c>
      <c r="D3832" s="8" t="str">
        <f>"9783110705621"</f>
        <v>9783110705621</v>
      </c>
    </row>
    <row r="3833" spans="1:4" x14ac:dyDescent="0.25">
      <c r="A3833" s="7" t="s">
        <v>10396</v>
      </c>
      <c r="B3833" s="8" t="s">
        <v>8410</v>
      </c>
      <c r="C3833" s="8" t="s">
        <v>993</v>
      </c>
      <c r="D3833" s="8" t="str">
        <f>"9783839454534"</f>
        <v>9783839454534</v>
      </c>
    </row>
    <row r="3834" spans="1:4" ht="30" x14ac:dyDescent="0.25">
      <c r="A3834" s="7" t="s">
        <v>11268</v>
      </c>
      <c r="B3834" s="8" t="s">
        <v>11269</v>
      </c>
      <c r="C3834" s="8" t="s">
        <v>355</v>
      </c>
      <c r="D3834" s="8" t="str">
        <f>"9783111347417"</f>
        <v>9783111347417</v>
      </c>
    </row>
    <row r="3835" spans="1:4" x14ac:dyDescent="0.25">
      <c r="A3835" s="7" t="s">
        <v>1226</v>
      </c>
      <c r="B3835" s="8" t="s">
        <v>1227</v>
      </c>
      <c r="C3835" s="8" t="s">
        <v>1224</v>
      </c>
      <c r="D3835" s="8" t="str">
        <f>"9781618110053"</f>
        <v>9781618110053</v>
      </c>
    </row>
    <row r="3836" spans="1:4" x14ac:dyDescent="0.25">
      <c r="A3836" s="7" t="s">
        <v>814</v>
      </c>
      <c r="B3836" s="8" t="s">
        <v>815</v>
      </c>
      <c r="C3836" s="8" t="s">
        <v>562</v>
      </c>
      <c r="D3836" s="8" t="str">
        <f>"9780822377177"</f>
        <v>9780822377177</v>
      </c>
    </row>
    <row r="3837" spans="1:4" x14ac:dyDescent="0.25">
      <c r="A3837" s="7" t="s">
        <v>12075</v>
      </c>
      <c r="B3837" s="8" t="s">
        <v>12076</v>
      </c>
      <c r="C3837" s="8" t="s">
        <v>355</v>
      </c>
      <c r="D3837" s="8" t="str">
        <f>"9783110725339"</f>
        <v>9783110725339</v>
      </c>
    </row>
    <row r="3838" spans="1:4" x14ac:dyDescent="0.25">
      <c r="A3838" s="7" t="s">
        <v>16134</v>
      </c>
      <c r="B3838" s="8" t="s">
        <v>16135</v>
      </c>
      <c r="C3838" s="8" t="s">
        <v>1865</v>
      </c>
      <c r="D3838" s="8" t="str">
        <f>"9789176858424"</f>
        <v>9789176858424</v>
      </c>
    </row>
    <row r="3839" spans="1:4" ht="30" x14ac:dyDescent="0.25">
      <c r="A3839" s="7" t="s">
        <v>1955</v>
      </c>
      <c r="B3839" s="8" t="s">
        <v>1884</v>
      </c>
      <c r="C3839" s="8" t="s">
        <v>1879</v>
      </c>
      <c r="D3839" s="8" t="str">
        <f>"9781783740598"</f>
        <v>9781783740598</v>
      </c>
    </row>
    <row r="3840" spans="1:4" ht="30" x14ac:dyDescent="0.25">
      <c r="A3840" s="7" t="s">
        <v>14514</v>
      </c>
      <c r="B3840" s="8" t="s">
        <v>14515</v>
      </c>
      <c r="C3840" s="8" t="s">
        <v>1865</v>
      </c>
      <c r="D3840" s="8" t="str">
        <f>"9789179292270"</f>
        <v>9789179292270</v>
      </c>
    </row>
    <row r="3841" spans="1:4" ht="30" x14ac:dyDescent="0.25">
      <c r="A3841" s="7" t="s">
        <v>2462</v>
      </c>
      <c r="B3841" s="8" t="s">
        <v>2463</v>
      </c>
      <c r="C3841" s="8" t="s">
        <v>1865</v>
      </c>
      <c r="D3841" s="8" t="str">
        <f>"9789175190259"</f>
        <v>9789175190259</v>
      </c>
    </row>
    <row r="3842" spans="1:4" x14ac:dyDescent="0.25">
      <c r="A3842" s="7" t="s">
        <v>14901</v>
      </c>
      <c r="B3842" s="8" t="s">
        <v>14902</v>
      </c>
      <c r="C3842" s="8" t="s">
        <v>1865</v>
      </c>
      <c r="D3842" s="8" t="str">
        <f>"9789176851524"</f>
        <v>9789176851524</v>
      </c>
    </row>
    <row r="3843" spans="1:4" ht="30" x14ac:dyDescent="0.25">
      <c r="A3843" s="7" t="s">
        <v>10238</v>
      </c>
      <c r="B3843" s="8" t="s">
        <v>10239</v>
      </c>
      <c r="C3843" s="8" t="s">
        <v>993</v>
      </c>
      <c r="D3843" s="8" t="str">
        <f>"9783839445594"</f>
        <v>9783839445594</v>
      </c>
    </row>
    <row r="3844" spans="1:4" ht="30" x14ac:dyDescent="0.25">
      <c r="A3844" s="7" t="s">
        <v>5082</v>
      </c>
      <c r="B3844" s="8" t="s">
        <v>5084</v>
      </c>
      <c r="C3844" s="8" t="s">
        <v>5083</v>
      </c>
      <c r="D3844" s="8" t="str">
        <f>"9783658281281"</f>
        <v>9783658281281</v>
      </c>
    </row>
    <row r="3845" spans="1:4" x14ac:dyDescent="0.25">
      <c r="A3845" s="7" t="s">
        <v>14386</v>
      </c>
      <c r="B3845" s="8" t="s">
        <v>14387</v>
      </c>
      <c r="C3845" s="8" t="s">
        <v>1865</v>
      </c>
      <c r="D3845" s="8" t="str">
        <f>"9789179295134"</f>
        <v>9789179295134</v>
      </c>
    </row>
    <row r="3846" spans="1:4" ht="30" x14ac:dyDescent="0.25">
      <c r="A3846" s="7" t="s">
        <v>5248</v>
      </c>
      <c r="B3846" s="8" t="s">
        <v>5249</v>
      </c>
      <c r="C3846" s="8" t="s">
        <v>1865</v>
      </c>
      <c r="D3846" s="8" t="str">
        <f>"9789179298265"</f>
        <v>9789179298265</v>
      </c>
    </row>
    <row r="3847" spans="1:4" ht="30" x14ac:dyDescent="0.25">
      <c r="A3847" s="7" t="s">
        <v>3983</v>
      </c>
      <c r="B3847" s="8" t="s">
        <v>3984</v>
      </c>
      <c r="C3847" s="8" t="s">
        <v>1865</v>
      </c>
      <c r="D3847" s="8" t="str">
        <f>"9789176852507"</f>
        <v>9789176852507</v>
      </c>
    </row>
    <row r="3848" spans="1:4" x14ac:dyDescent="0.25">
      <c r="A3848" s="7" t="s">
        <v>10086</v>
      </c>
      <c r="B3848" s="8" t="s">
        <v>10087</v>
      </c>
      <c r="C3848" s="8" t="s">
        <v>993</v>
      </c>
      <c r="D3848" s="8" t="str">
        <f>"9783839432433"</f>
        <v>9783839432433</v>
      </c>
    </row>
    <row r="3849" spans="1:4" ht="30" x14ac:dyDescent="0.25">
      <c r="A3849" s="7" t="s">
        <v>9492</v>
      </c>
      <c r="B3849" s="8" t="s">
        <v>9493</v>
      </c>
      <c r="C3849" s="8" t="s">
        <v>4245</v>
      </c>
      <c r="D3849" s="8" t="str">
        <f>"9789811907630"</f>
        <v>9789811907630</v>
      </c>
    </row>
    <row r="3850" spans="1:4" x14ac:dyDescent="0.25">
      <c r="A3850" s="7" t="s">
        <v>10926</v>
      </c>
      <c r="B3850" s="8" t="s">
        <v>10927</v>
      </c>
      <c r="C3850" s="8" t="s">
        <v>355</v>
      </c>
      <c r="D3850" s="8" t="str">
        <f>"9783110543100"</f>
        <v>9783110543100</v>
      </c>
    </row>
    <row r="3851" spans="1:4" x14ac:dyDescent="0.25">
      <c r="A3851" s="7" t="s">
        <v>10721</v>
      </c>
      <c r="B3851" s="8" t="s">
        <v>10722</v>
      </c>
      <c r="C3851" s="8" t="s">
        <v>1332</v>
      </c>
      <c r="D3851" s="8" t="str">
        <f>"9788490489857"</f>
        <v>9788490489857</v>
      </c>
    </row>
    <row r="3852" spans="1:4" ht="30" x14ac:dyDescent="0.25">
      <c r="A3852" s="7" t="s">
        <v>6000</v>
      </c>
      <c r="B3852" s="8" t="s">
        <v>6001</v>
      </c>
      <c r="C3852" s="8" t="s">
        <v>4245</v>
      </c>
      <c r="D3852" s="8" t="str">
        <f>"9789811040627"</f>
        <v>9789811040627</v>
      </c>
    </row>
    <row r="3853" spans="1:4" ht="30" x14ac:dyDescent="0.25">
      <c r="A3853" s="7" t="s">
        <v>6585</v>
      </c>
      <c r="B3853" s="8" t="s">
        <v>6586</v>
      </c>
      <c r="C3853" s="8" t="s">
        <v>5086</v>
      </c>
      <c r="D3853" s="8" t="str">
        <f>"9783658328863"</f>
        <v>9783658328863</v>
      </c>
    </row>
    <row r="3854" spans="1:4" x14ac:dyDescent="0.25">
      <c r="A3854" s="7" t="s">
        <v>3012</v>
      </c>
      <c r="B3854" s="8" t="s">
        <v>3013</v>
      </c>
      <c r="C3854" s="8" t="s">
        <v>1865</v>
      </c>
      <c r="D3854" s="8" t="str">
        <f>"9789176855881"</f>
        <v>9789176855881</v>
      </c>
    </row>
    <row r="3855" spans="1:4" x14ac:dyDescent="0.25">
      <c r="A3855" s="7" t="s">
        <v>16248</v>
      </c>
      <c r="B3855" s="8" t="s">
        <v>16249</v>
      </c>
      <c r="C3855" s="8" t="s">
        <v>1865</v>
      </c>
      <c r="D3855" s="8" t="str">
        <f>"9789176857984"</f>
        <v>9789176857984</v>
      </c>
    </row>
    <row r="3856" spans="1:4" ht="30" x14ac:dyDescent="0.25">
      <c r="A3856" s="7" t="s">
        <v>16060</v>
      </c>
      <c r="B3856" s="8" t="s">
        <v>16061</v>
      </c>
      <c r="C3856" s="8" t="s">
        <v>1865</v>
      </c>
      <c r="D3856" s="8" t="str">
        <f>"9789176855669"</f>
        <v>9789176855669</v>
      </c>
    </row>
    <row r="3857" spans="1:4" ht="30" x14ac:dyDescent="0.25">
      <c r="A3857" s="7" t="s">
        <v>2739</v>
      </c>
      <c r="B3857" s="8" t="s">
        <v>2740</v>
      </c>
      <c r="C3857" s="8" t="s">
        <v>1865</v>
      </c>
      <c r="D3857" s="8" t="str">
        <f>"9789176857328"</f>
        <v>9789176857328</v>
      </c>
    </row>
    <row r="3858" spans="1:4" x14ac:dyDescent="0.25">
      <c r="A3858" s="7" t="s">
        <v>4001</v>
      </c>
      <c r="B3858" s="8" t="s">
        <v>4002</v>
      </c>
      <c r="C3858" s="8" t="s">
        <v>1345</v>
      </c>
      <c r="D3858" s="8" t="str">
        <f>"9783737605359"</f>
        <v>9783737605359</v>
      </c>
    </row>
    <row r="3859" spans="1:4" ht="30" x14ac:dyDescent="0.25">
      <c r="A3859" s="7" t="s">
        <v>15400</v>
      </c>
      <c r="B3859" s="8" t="s">
        <v>15401</v>
      </c>
      <c r="C3859" s="8" t="s">
        <v>1865</v>
      </c>
      <c r="D3859" s="8" t="str">
        <f>"9789175193311"</f>
        <v>9789175193311</v>
      </c>
    </row>
    <row r="3860" spans="1:4" ht="30" x14ac:dyDescent="0.25">
      <c r="A3860" s="7" t="s">
        <v>15139</v>
      </c>
      <c r="B3860" s="8" t="s">
        <v>15140</v>
      </c>
      <c r="C3860" s="8" t="s">
        <v>1865</v>
      </c>
      <c r="D3860" s="8" t="str">
        <f>"9789175196589"</f>
        <v>9789175196589</v>
      </c>
    </row>
    <row r="3861" spans="1:4" ht="30" x14ac:dyDescent="0.25">
      <c r="A3861" s="7" t="s">
        <v>3460</v>
      </c>
      <c r="B3861" s="8" t="s">
        <v>3461</v>
      </c>
      <c r="C3861" s="8" t="s">
        <v>1345</v>
      </c>
      <c r="D3861" s="8" t="str">
        <f>"9783737604031"</f>
        <v>9783737604031</v>
      </c>
    </row>
    <row r="3862" spans="1:4" x14ac:dyDescent="0.25">
      <c r="A3862" s="7" t="s">
        <v>11107</v>
      </c>
      <c r="B3862" s="8" t="s">
        <v>6717</v>
      </c>
      <c r="C3862" s="8" t="s">
        <v>6716</v>
      </c>
      <c r="D3862" s="8" t="str">
        <f>"9780472902040"</f>
        <v>9780472902040</v>
      </c>
    </row>
    <row r="3863" spans="1:4" ht="30" x14ac:dyDescent="0.25">
      <c r="A3863" s="7" t="s">
        <v>7840</v>
      </c>
      <c r="B3863" s="8" t="s">
        <v>7841</v>
      </c>
      <c r="C3863" s="8" t="s">
        <v>1865</v>
      </c>
      <c r="D3863" s="8" t="str">
        <f>"9789179296339"</f>
        <v>9789179296339</v>
      </c>
    </row>
    <row r="3864" spans="1:4" ht="30" x14ac:dyDescent="0.25">
      <c r="A3864" s="7" t="s">
        <v>16204</v>
      </c>
      <c r="B3864" s="8" t="s">
        <v>16205</v>
      </c>
      <c r="C3864" s="8" t="s">
        <v>1865</v>
      </c>
      <c r="D3864" s="8" t="str">
        <f>"9789185895830"</f>
        <v>9789185895830</v>
      </c>
    </row>
    <row r="3865" spans="1:4" ht="30" x14ac:dyDescent="0.25">
      <c r="A3865" s="7" t="s">
        <v>7314</v>
      </c>
      <c r="B3865" s="8" t="s">
        <v>7315</v>
      </c>
      <c r="C3865" s="8" t="s">
        <v>5134</v>
      </c>
      <c r="D3865" s="8" t="str">
        <f>"9783662635094"</f>
        <v>9783662635094</v>
      </c>
    </row>
    <row r="3866" spans="1:4" x14ac:dyDescent="0.25">
      <c r="A3866" s="7" t="s">
        <v>13595</v>
      </c>
      <c r="B3866" s="8" t="s">
        <v>7315</v>
      </c>
      <c r="C3866" s="8" t="s">
        <v>5134</v>
      </c>
      <c r="D3866" s="8" t="str">
        <f>"9783662660737"</f>
        <v>9783662660737</v>
      </c>
    </row>
    <row r="3867" spans="1:4" x14ac:dyDescent="0.25">
      <c r="A3867" s="7" t="s">
        <v>8714</v>
      </c>
      <c r="B3867" s="8" t="s">
        <v>8715</v>
      </c>
      <c r="C3867" s="8" t="s">
        <v>1865</v>
      </c>
      <c r="D3867" s="8" t="str">
        <f>"9789179290498"</f>
        <v>9789179290498</v>
      </c>
    </row>
    <row r="3868" spans="1:4" x14ac:dyDescent="0.25">
      <c r="A3868" s="7" t="s">
        <v>3388</v>
      </c>
      <c r="B3868" s="8" t="s">
        <v>3389</v>
      </c>
      <c r="C3868" s="8" t="s">
        <v>1865</v>
      </c>
      <c r="D3868" s="8" t="str">
        <f>"9789176854716"</f>
        <v>9789176854716</v>
      </c>
    </row>
    <row r="3869" spans="1:4" x14ac:dyDescent="0.25">
      <c r="A3869" s="7" t="s">
        <v>4409</v>
      </c>
      <c r="B3869" s="8" t="s">
        <v>4410</v>
      </c>
      <c r="C3869" s="8" t="s">
        <v>1865</v>
      </c>
      <c r="D3869" s="8" t="str">
        <f>"9789176851128"</f>
        <v>9789176851128</v>
      </c>
    </row>
    <row r="3870" spans="1:4" x14ac:dyDescent="0.25">
      <c r="A3870" s="7" t="s">
        <v>14989</v>
      </c>
      <c r="B3870" s="8" t="s">
        <v>14990</v>
      </c>
      <c r="C3870" s="8" t="s">
        <v>1865</v>
      </c>
      <c r="D3870" s="8" t="str">
        <f>"9789173939775"</f>
        <v>9789173939775</v>
      </c>
    </row>
    <row r="3871" spans="1:4" x14ac:dyDescent="0.25">
      <c r="A3871" s="7" t="s">
        <v>4814</v>
      </c>
      <c r="B3871" s="8" t="s">
        <v>4815</v>
      </c>
      <c r="C3871" s="8" t="s">
        <v>1865</v>
      </c>
      <c r="D3871" s="8" t="str">
        <f>"9789179299361"</f>
        <v>9789179299361</v>
      </c>
    </row>
    <row r="3872" spans="1:4" x14ac:dyDescent="0.25">
      <c r="A3872" s="7" t="s">
        <v>15590</v>
      </c>
      <c r="B3872" s="8" t="s">
        <v>15591</v>
      </c>
      <c r="C3872" s="8" t="s">
        <v>1865</v>
      </c>
      <c r="D3872" s="8" t="str">
        <f>"9789176855997"</f>
        <v>9789176855997</v>
      </c>
    </row>
    <row r="3873" spans="1:4" x14ac:dyDescent="0.25">
      <c r="A3873" s="7" t="s">
        <v>15509</v>
      </c>
      <c r="B3873" s="8" t="s">
        <v>15510</v>
      </c>
      <c r="C3873" s="8" t="s">
        <v>1865</v>
      </c>
      <c r="D3873" s="8" t="str">
        <f>"9789179294489"</f>
        <v>9789179294489</v>
      </c>
    </row>
    <row r="3874" spans="1:4" x14ac:dyDescent="0.25">
      <c r="A3874" s="7" t="s">
        <v>15622</v>
      </c>
      <c r="B3874" s="8" t="s">
        <v>15623</v>
      </c>
      <c r="C3874" s="8" t="s">
        <v>1865</v>
      </c>
      <c r="D3874" s="8" t="str">
        <f>"9789175197616"</f>
        <v>9789175197616</v>
      </c>
    </row>
    <row r="3875" spans="1:4" x14ac:dyDescent="0.25">
      <c r="A3875" s="7" t="s">
        <v>16125</v>
      </c>
      <c r="B3875" s="8" t="s">
        <v>16126</v>
      </c>
      <c r="C3875" s="8" t="s">
        <v>1865</v>
      </c>
      <c r="D3875" s="8" t="str">
        <f>"9789175198217"</f>
        <v>9789175198217</v>
      </c>
    </row>
    <row r="3876" spans="1:4" ht="30" x14ac:dyDescent="0.25">
      <c r="A3876" s="7" t="s">
        <v>1355</v>
      </c>
      <c r="B3876" s="8" t="s">
        <v>1356</v>
      </c>
      <c r="C3876" s="8" t="s">
        <v>1345</v>
      </c>
      <c r="D3876" s="8" t="str">
        <f>""</f>
        <v/>
      </c>
    </row>
    <row r="3877" spans="1:4" ht="30" x14ac:dyDescent="0.25">
      <c r="A3877" s="7" t="s">
        <v>6953</v>
      </c>
      <c r="B3877" s="8" t="s">
        <v>6954</v>
      </c>
      <c r="C3877" s="8" t="s">
        <v>2273</v>
      </c>
      <c r="D3877" s="8" t="str">
        <f>"9783030711023"</f>
        <v>9783030711023</v>
      </c>
    </row>
    <row r="3878" spans="1:4" ht="30" x14ac:dyDescent="0.25">
      <c r="A3878" s="7" t="s">
        <v>15779</v>
      </c>
      <c r="B3878" s="8" t="s">
        <v>15780</v>
      </c>
      <c r="C3878" s="8" t="s">
        <v>1865</v>
      </c>
      <c r="D3878" s="8" t="str">
        <f>"9789176852866"</f>
        <v>9789176852866</v>
      </c>
    </row>
    <row r="3879" spans="1:4" x14ac:dyDescent="0.25">
      <c r="A3879" s="7" t="s">
        <v>12682</v>
      </c>
      <c r="B3879" s="8" t="s">
        <v>12683</v>
      </c>
      <c r="C3879" s="8" t="s">
        <v>2273</v>
      </c>
      <c r="D3879" s="8" t="str">
        <f>"9783031106958"</f>
        <v>9783031106958</v>
      </c>
    </row>
    <row r="3880" spans="1:4" ht="30" x14ac:dyDescent="0.25">
      <c r="A3880" s="7" t="s">
        <v>6403</v>
      </c>
      <c r="B3880" s="8" t="s">
        <v>6404</v>
      </c>
      <c r="C3880" s="8" t="s">
        <v>2273</v>
      </c>
      <c r="D3880" s="8" t="str">
        <f>"9783030657857"</f>
        <v>9783030657857</v>
      </c>
    </row>
    <row r="3881" spans="1:4" ht="30" x14ac:dyDescent="0.25">
      <c r="A3881" s="7" t="s">
        <v>8960</v>
      </c>
      <c r="B3881" s="8" t="s">
        <v>8961</v>
      </c>
      <c r="C3881" s="8" t="s">
        <v>2273</v>
      </c>
      <c r="D3881" s="8" t="str">
        <f>"9783030947514"</f>
        <v>9783030947514</v>
      </c>
    </row>
    <row r="3882" spans="1:4" ht="30" x14ac:dyDescent="0.25">
      <c r="A3882" s="7" t="s">
        <v>14119</v>
      </c>
      <c r="B3882" s="8" t="s">
        <v>125</v>
      </c>
      <c r="C3882" s="8" t="s">
        <v>2274</v>
      </c>
      <c r="D3882" s="8" t="str">
        <f>"9783031257520"</f>
        <v>9783031257520</v>
      </c>
    </row>
    <row r="3883" spans="1:4" x14ac:dyDescent="0.25">
      <c r="A3883" s="7" t="s">
        <v>880</v>
      </c>
      <c r="B3883" s="8" t="s">
        <v>881</v>
      </c>
      <c r="C3883" s="8" t="s">
        <v>355</v>
      </c>
      <c r="D3883" s="8" t="str">
        <f>"9783110401455"</f>
        <v>9783110401455</v>
      </c>
    </row>
    <row r="3884" spans="1:4" x14ac:dyDescent="0.25">
      <c r="A3884" s="7" t="s">
        <v>3483</v>
      </c>
      <c r="B3884" s="8" t="s">
        <v>3484</v>
      </c>
      <c r="C3884" s="8" t="s">
        <v>1879</v>
      </c>
      <c r="D3884" s="8" t="str">
        <f>"9781783743759"</f>
        <v>9781783743759</v>
      </c>
    </row>
    <row r="3885" spans="1:4" x14ac:dyDescent="0.25">
      <c r="A3885" s="7" t="s">
        <v>6070</v>
      </c>
      <c r="B3885" s="8" t="s">
        <v>6071</v>
      </c>
      <c r="C3885" s="8" t="s">
        <v>2273</v>
      </c>
      <c r="D3885" s="8" t="str">
        <f>"9783319510200"</f>
        <v>9783319510200</v>
      </c>
    </row>
    <row r="3886" spans="1:4" ht="30" x14ac:dyDescent="0.25">
      <c r="A3886" s="7" t="s">
        <v>12929</v>
      </c>
      <c r="B3886" s="8" t="s">
        <v>12930</v>
      </c>
      <c r="C3886" s="8" t="s">
        <v>12712</v>
      </c>
      <c r="D3886" s="8" t="str">
        <f>"9783428451944"</f>
        <v>9783428451944</v>
      </c>
    </row>
    <row r="3887" spans="1:4" ht="30" x14ac:dyDescent="0.25">
      <c r="A3887" s="7" t="s">
        <v>4109</v>
      </c>
      <c r="B3887" s="8" t="s">
        <v>4110</v>
      </c>
      <c r="C3887" s="8" t="s">
        <v>1865</v>
      </c>
      <c r="D3887" s="8" t="str">
        <f>"9789176852316"</f>
        <v>9789176852316</v>
      </c>
    </row>
    <row r="3888" spans="1:4" ht="30" x14ac:dyDescent="0.25">
      <c r="A3888" s="7" t="s">
        <v>12819</v>
      </c>
      <c r="B3888" s="8" t="s">
        <v>12820</v>
      </c>
      <c r="C3888" s="8" t="s">
        <v>12712</v>
      </c>
      <c r="D3888" s="8" t="str">
        <f>"9783428428724"</f>
        <v>9783428428724</v>
      </c>
    </row>
    <row r="3889" spans="1:4" ht="30" x14ac:dyDescent="0.25">
      <c r="A3889" s="7" t="s">
        <v>14094</v>
      </c>
      <c r="B3889" s="8" t="s">
        <v>14095</v>
      </c>
      <c r="C3889" s="8" t="s">
        <v>993</v>
      </c>
      <c r="D3889" s="8" t="str">
        <f>"9783839464960"</f>
        <v>9783839464960</v>
      </c>
    </row>
    <row r="3890" spans="1:4" ht="30" x14ac:dyDescent="0.25">
      <c r="A3890" s="7" t="s">
        <v>1659</v>
      </c>
      <c r="B3890" s="8" t="s">
        <v>1660</v>
      </c>
      <c r="C3890" s="8" t="s">
        <v>1345</v>
      </c>
      <c r="D3890" s="8" t="str">
        <f>"9783862196012"</f>
        <v>9783862196012</v>
      </c>
    </row>
    <row r="3891" spans="1:4" x14ac:dyDescent="0.25">
      <c r="A3891" s="7" t="s">
        <v>5311</v>
      </c>
      <c r="B3891" s="8" t="s">
        <v>5312</v>
      </c>
      <c r="C3891" s="8" t="s">
        <v>2273</v>
      </c>
      <c r="D3891" s="8" t="str">
        <f>"9783319031378"</f>
        <v>9783319031378</v>
      </c>
    </row>
    <row r="3892" spans="1:4" x14ac:dyDescent="0.25">
      <c r="A3892" s="7" t="s">
        <v>9562</v>
      </c>
      <c r="B3892" s="8" t="s">
        <v>9563</v>
      </c>
      <c r="C3892" s="8" t="s">
        <v>1879</v>
      </c>
      <c r="D3892" s="8" t="str">
        <f>"9781783748235"</f>
        <v>9781783748235</v>
      </c>
    </row>
    <row r="3893" spans="1:4" ht="30" x14ac:dyDescent="0.25">
      <c r="A3893" s="7" t="s">
        <v>12489</v>
      </c>
      <c r="B3893" s="8" t="s">
        <v>12490</v>
      </c>
      <c r="C3893" s="8" t="s">
        <v>1962</v>
      </c>
      <c r="D3893" s="8" t="str">
        <f>"9782759235155"</f>
        <v>9782759235155</v>
      </c>
    </row>
    <row r="3894" spans="1:4" x14ac:dyDescent="0.25">
      <c r="A3894" s="7" t="s">
        <v>15708</v>
      </c>
      <c r="B3894" s="8" t="s">
        <v>15709</v>
      </c>
      <c r="C3894" s="8" t="s">
        <v>1865</v>
      </c>
      <c r="D3894" s="8" t="str">
        <f>"9789176858516"</f>
        <v>9789176858516</v>
      </c>
    </row>
    <row r="3895" spans="1:4" x14ac:dyDescent="0.25">
      <c r="A3895" s="7" t="s">
        <v>4465</v>
      </c>
      <c r="B3895" s="8" t="s">
        <v>4466</v>
      </c>
      <c r="C3895" s="8" t="s">
        <v>1865</v>
      </c>
      <c r="D3895" s="8" t="str">
        <f>"9789176850640"</f>
        <v>9789176850640</v>
      </c>
    </row>
    <row r="3896" spans="1:4" x14ac:dyDescent="0.25">
      <c r="A3896" s="7" t="s">
        <v>14443</v>
      </c>
      <c r="B3896" s="8" t="s">
        <v>14444</v>
      </c>
      <c r="C3896" s="8" t="s">
        <v>1865</v>
      </c>
      <c r="D3896" s="8" t="str">
        <f>"9789179293208"</f>
        <v>9789179293208</v>
      </c>
    </row>
    <row r="3897" spans="1:4" x14ac:dyDescent="0.25">
      <c r="A3897" s="7" t="s">
        <v>2219</v>
      </c>
      <c r="B3897" s="8" t="s">
        <v>2220</v>
      </c>
      <c r="C3897" s="8" t="s">
        <v>316</v>
      </c>
      <c r="D3897" s="8" t="str">
        <f>"9783110299557"</f>
        <v>9783110299557</v>
      </c>
    </row>
    <row r="3898" spans="1:4" x14ac:dyDescent="0.25">
      <c r="A3898" s="7" t="s">
        <v>3377</v>
      </c>
      <c r="B3898" s="8"/>
      <c r="C3898" s="8"/>
      <c r="D3898" s="8"/>
    </row>
    <row r="3899" spans="1:4" ht="30" x14ac:dyDescent="0.25">
      <c r="A3899" s="7" t="s">
        <v>4664</v>
      </c>
      <c r="B3899" s="8" t="s">
        <v>4665</v>
      </c>
      <c r="C3899" s="8" t="s">
        <v>1865</v>
      </c>
      <c r="D3899" s="8" t="str">
        <f>"9789176850190"</f>
        <v>9789176850190</v>
      </c>
    </row>
    <row r="3900" spans="1:4" ht="30" x14ac:dyDescent="0.25">
      <c r="A3900" s="7" t="s">
        <v>8507</v>
      </c>
      <c r="B3900" s="8" t="s">
        <v>8346</v>
      </c>
      <c r="C3900" s="8" t="s">
        <v>993</v>
      </c>
      <c r="D3900" s="8" t="str">
        <f>"9783839452677"</f>
        <v>9783839452677</v>
      </c>
    </row>
    <row r="3901" spans="1:4" ht="30" x14ac:dyDescent="0.25">
      <c r="A3901" s="7" t="s">
        <v>5917</v>
      </c>
      <c r="B3901" s="8" t="s">
        <v>5918</v>
      </c>
      <c r="C3901" s="8" t="s">
        <v>5086</v>
      </c>
      <c r="D3901" s="8" t="str">
        <f>"9783658213442"</f>
        <v>9783658213442</v>
      </c>
    </row>
    <row r="3902" spans="1:4" x14ac:dyDescent="0.25">
      <c r="A3902" s="7" t="s">
        <v>9417</v>
      </c>
      <c r="B3902" s="8" t="s">
        <v>9378</v>
      </c>
      <c r="C3902" s="8" t="s">
        <v>9256</v>
      </c>
      <c r="D3902" s="8" t="str">
        <f>"9788021098312"</f>
        <v>9788021098312</v>
      </c>
    </row>
    <row r="3903" spans="1:4" ht="30" x14ac:dyDescent="0.25">
      <c r="A3903" s="7" t="s">
        <v>5524</v>
      </c>
      <c r="B3903" s="8" t="s">
        <v>5525</v>
      </c>
      <c r="C3903" s="8" t="s">
        <v>1865</v>
      </c>
      <c r="D3903" s="8" t="str">
        <f>"9789179297589"</f>
        <v>9789179297589</v>
      </c>
    </row>
    <row r="3904" spans="1:4" x14ac:dyDescent="0.25">
      <c r="A3904" s="7" t="s">
        <v>14102</v>
      </c>
      <c r="B3904" s="8" t="s">
        <v>14103</v>
      </c>
      <c r="C3904" s="8" t="s">
        <v>993</v>
      </c>
      <c r="D3904" s="8" t="str">
        <f>"9783839465745"</f>
        <v>9783839465745</v>
      </c>
    </row>
    <row r="3905" spans="1:4" x14ac:dyDescent="0.25">
      <c r="A3905" s="7" t="s">
        <v>12475</v>
      </c>
      <c r="B3905" s="8" t="s">
        <v>12476</v>
      </c>
      <c r="C3905" s="8" t="s">
        <v>2273</v>
      </c>
      <c r="D3905" s="8" t="str">
        <f>"9783030985998"</f>
        <v>9783030985998</v>
      </c>
    </row>
    <row r="3906" spans="1:4" x14ac:dyDescent="0.25">
      <c r="A3906" s="7" t="s">
        <v>14503</v>
      </c>
      <c r="B3906" s="8" t="s">
        <v>14504</v>
      </c>
      <c r="C3906" s="8" t="s">
        <v>1865</v>
      </c>
      <c r="D3906" s="8" t="str">
        <f>"9789179294250"</f>
        <v>9789179294250</v>
      </c>
    </row>
    <row r="3907" spans="1:4" x14ac:dyDescent="0.25">
      <c r="A3907" s="7" t="s">
        <v>8027</v>
      </c>
      <c r="B3907" s="8" t="s">
        <v>2653</v>
      </c>
      <c r="C3907" s="8" t="s">
        <v>1962</v>
      </c>
      <c r="D3907" s="8" t="str">
        <f>"9782759229604"</f>
        <v>9782759229604</v>
      </c>
    </row>
    <row r="3908" spans="1:4" ht="30" x14ac:dyDescent="0.25">
      <c r="A3908" s="7" t="s">
        <v>234</v>
      </c>
      <c r="B3908" s="8" t="s">
        <v>235</v>
      </c>
      <c r="C3908" s="8" t="s">
        <v>227</v>
      </c>
      <c r="D3908" s="8" t="str">
        <f>"9781847790521"</f>
        <v>9781847790521</v>
      </c>
    </row>
    <row r="3909" spans="1:4" x14ac:dyDescent="0.25">
      <c r="A3909" s="7" t="s">
        <v>3967</v>
      </c>
      <c r="B3909" s="8" t="s">
        <v>2653</v>
      </c>
      <c r="C3909" s="8" t="s">
        <v>1962</v>
      </c>
      <c r="D3909" s="8" t="str">
        <f>"9782759228133"</f>
        <v>9782759228133</v>
      </c>
    </row>
    <row r="3910" spans="1:4" ht="30" x14ac:dyDescent="0.25">
      <c r="A3910" s="7" t="s">
        <v>13530</v>
      </c>
      <c r="B3910" s="8" t="s">
        <v>13531</v>
      </c>
      <c r="C3910" s="8" t="s">
        <v>5086</v>
      </c>
      <c r="D3910" s="8" t="str">
        <f>"9783658395612"</f>
        <v>9783658395612</v>
      </c>
    </row>
    <row r="3911" spans="1:4" ht="30" x14ac:dyDescent="0.25">
      <c r="A3911" s="7" t="s">
        <v>15832</v>
      </c>
      <c r="B3911" s="8" t="s">
        <v>15833</v>
      </c>
      <c r="C3911" s="8" t="s">
        <v>1865</v>
      </c>
      <c r="D3911" s="8" t="str">
        <f>"9789179295721"</f>
        <v>9789179295721</v>
      </c>
    </row>
    <row r="3912" spans="1:4" x14ac:dyDescent="0.25">
      <c r="A3912" s="7" t="s">
        <v>6920</v>
      </c>
      <c r="B3912" s="8" t="s">
        <v>6921</v>
      </c>
      <c r="C3912" s="8" t="s">
        <v>2273</v>
      </c>
      <c r="D3912" s="8" t="str">
        <f>"9783030742218"</f>
        <v>9783030742218</v>
      </c>
    </row>
    <row r="3913" spans="1:4" ht="30" x14ac:dyDescent="0.25">
      <c r="A3913" s="7" t="s">
        <v>5457</v>
      </c>
      <c r="B3913" s="8" t="s">
        <v>5277</v>
      </c>
      <c r="C3913" s="8" t="s">
        <v>5064</v>
      </c>
      <c r="D3913" s="8" t="str">
        <f>"9789813272569"</f>
        <v>9789813272569</v>
      </c>
    </row>
    <row r="3914" spans="1:4" ht="30" x14ac:dyDescent="0.25">
      <c r="A3914" s="7" t="s">
        <v>5732</v>
      </c>
      <c r="B3914" s="8" t="s">
        <v>5277</v>
      </c>
      <c r="C3914" s="8" t="s">
        <v>2273</v>
      </c>
      <c r="D3914" s="8" t="str">
        <f>"9783319334462"</f>
        <v>9783319334462</v>
      </c>
    </row>
    <row r="3915" spans="1:4" x14ac:dyDescent="0.25">
      <c r="A3915" s="7" t="s">
        <v>8809</v>
      </c>
      <c r="B3915" s="8" t="s">
        <v>8810</v>
      </c>
      <c r="C3915" s="8" t="s">
        <v>8805</v>
      </c>
      <c r="D3915" s="8" t="str">
        <f>"9781934831151"</f>
        <v>9781934831151</v>
      </c>
    </row>
    <row r="3916" spans="1:4" x14ac:dyDescent="0.25">
      <c r="A3916" s="7" t="s">
        <v>5276</v>
      </c>
      <c r="B3916" s="8" t="s">
        <v>5277</v>
      </c>
      <c r="C3916" s="8" t="s">
        <v>2273</v>
      </c>
      <c r="D3916" s="8" t="str">
        <f>"9783319091143"</f>
        <v>9783319091143</v>
      </c>
    </row>
    <row r="3917" spans="1:4" ht="30" x14ac:dyDescent="0.25">
      <c r="A3917" s="7" t="s">
        <v>6579</v>
      </c>
      <c r="B3917" s="8" t="s">
        <v>6580</v>
      </c>
      <c r="C3917" s="8" t="s">
        <v>2273</v>
      </c>
      <c r="D3917" s="8" t="str">
        <f>"9783030589486"</f>
        <v>9783030589486</v>
      </c>
    </row>
    <row r="3918" spans="1:4" x14ac:dyDescent="0.25">
      <c r="A3918" s="7" t="s">
        <v>5770</v>
      </c>
      <c r="B3918" s="8" t="s">
        <v>5771</v>
      </c>
      <c r="C3918" s="8" t="s">
        <v>5107</v>
      </c>
      <c r="D3918" s="8" t="str">
        <f>"9784431556510"</f>
        <v>9784431556510</v>
      </c>
    </row>
    <row r="3919" spans="1:4" x14ac:dyDescent="0.25">
      <c r="A3919" s="7" t="s">
        <v>12377</v>
      </c>
      <c r="B3919" s="8" t="s">
        <v>12378</v>
      </c>
      <c r="C3919" s="8" t="s">
        <v>2273</v>
      </c>
      <c r="D3919" s="8" t="str">
        <f>"9783031046704"</f>
        <v>9783031046704</v>
      </c>
    </row>
    <row r="3920" spans="1:4" x14ac:dyDescent="0.25">
      <c r="A3920" s="7" t="s">
        <v>2652</v>
      </c>
      <c r="B3920" s="8" t="s">
        <v>2653</v>
      </c>
      <c r="C3920" s="8" t="s">
        <v>1962</v>
      </c>
      <c r="D3920" s="8" t="str">
        <f>"9782759206087"</f>
        <v>9782759206087</v>
      </c>
    </row>
    <row r="3921" spans="1:4" x14ac:dyDescent="0.25">
      <c r="A3921" s="7" t="s">
        <v>5682</v>
      </c>
      <c r="B3921" s="8" t="s">
        <v>5683</v>
      </c>
      <c r="C3921" s="8" t="s">
        <v>4245</v>
      </c>
      <c r="D3921" s="8" t="str">
        <f>"9789811312144"</f>
        <v>9789811312144</v>
      </c>
    </row>
    <row r="3922" spans="1:4" x14ac:dyDescent="0.25">
      <c r="A3922" s="7" t="s">
        <v>9452</v>
      </c>
      <c r="B3922" s="8" t="s">
        <v>9453</v>
      </c>
      <c r="C3922" s="8" t="s">
        <v>9256</v>
      </c>
      <c r="D3922" s="8" t="str">
        <f>"9788021099838"</f>
        <v>9788021099838</v>
      </c>
    </row>
    <row r="3923" spans="1:4" x14ac:dyDescent="0.25">
      <c r="A3923" s="7" t="s">
        <v>14314</v>
      </c>
      <c r="B3923" s="8" t="s">
        <v>14315</v>
      </c>
      <c r="C3923" s="8" t="s">
        <v>2273</v>
      </c>
      <c r="D3923" s="8" t="str">
        <f>"9783031097065"</f>
        <v>9783031097065</v>
      </c>
    </row>
    <row r="3924" spans="1:4" x14ac:dyDescent="0.25">
      <c r="A3924" s="7" t="s">
        <v>7033</v>
      </c>
      <c r="B3924" s="8" t="s">
        <v>60</v>
      </c>
      <c r="C3924" s="8" t="s">
        <v>355</v>
      </c>
      <c r="D3924" s="8" t="str">
        <f>"9783110642261"</f>
        <v>9783110642261</v>
      </c>
    </row>
    <row r="3925" spans="1:4" x14ac:dyDescent="0.25">
      <c r="A3925" s="7" t="s">
        <v>7125</v>
      </c>
      <c r="B3925" s="8" t="s">
        <v>7126</v>
      </c>
      <c r="C3925" s="8" t="s">
        <v>355</v>
      </c>
      <c r="D3925" s="8" t="str">
        <f>"9783110649789"</f>
        <v>9783110649789</v>
      </c>
    </row>
    <row r="3926" spans="1:4" x14ac:dyDescent="0.25">
      <c r="A3926" s="7" t="s">
        <v>5615</v>
      </c>
      <c r="B3926" s="8" t="s">
        <v>5616</v>
      </c>
      <c r="C3926" s="8" t="s">
        <v>2273</v>
      </c>
      <c r="D3926" s="8" t="str">
        <f>"9783319633060"</f>
        <v>9783319633060</v>
      </c>
    </row>
    <row r="3927" spans="1:4" ht="30" x14ac:dyDescent="0.25">
      <c r="A3927" s="7" t="s">
        <v>15931</v>
      </c>
      <c r="B3927" s="8" t="s">
        <v>15932</v>
      </c>
      <c r="C3927" s="8" t="s">
        <v>1865</v>
      </c>
      <c r="D3927" s="8" t="str">
        <f>"9789175198095"</f>
        <v>9789175198095</v>
      </c>
    </row>
    <row r="3928" spans="1:4" x14ac:dyDescent="0.25">
      <c r="A3928" s="7" t="s">
        <v>2319</v>
      </c>
      <c r="B3928" s="8" t="s">
        <v>2320</v>
      </c>
      <c r="C3928" s="8" t="s">
        <v>355</v>
      </c>
      <c r="D3928" s="8" t="str">
        <f>"9783110471243"</f>
        <v>9783110471243</v>
      </c>
    </row>
    <row r="3929" spans="1:4" ht="30" x14ac:dyDescent="0.25">
      <c r="A3929" s="7" t="s">
        <v>2572</v>
      </c>
      <c r="B3929" s="8" t="s">
        <v>2573</v>
      </c>
      <c r="C3929" s="8" t="s">
        <v>355</v>
      </c>
      <c r="D3929" s="8" t="str">
        <f>"9783110469882"</f>
        <v>9783110469882</v>
      </c>
    </row>
    <row r="3930" spans="1:4" x14ac:dyDescent="0.25">
      <c r="A3930" s="7" t="s">
        <v>6837</v>
      </c>
      <c r="B3930" s="8" t="s">
        <v>6838</v>
      </c>
      <c r="C3930" s="8" t="s">
        <v>1865</v>
      </c>
      <c r="D3930" s="8" t="str">
        <f>"9789179296674"</f>
        <v>9789179296674</v>
      </c>
    </row>
    <row r="3931" spans="1:4" ht="30" x14ac:dyDescent="0.25">
      <c r="A3931" s="7" t="s">
        <v>1017</v>
      </c>
      <c r="B3931" s="8" t="s">
        <v>1018</v>
      </c>
      <c r="C3931" s="8" t="s">
        <v>316</v>
      </c>
      <c r="D3931" s="8" t="str">
        <f>"9783110349702"</f>
        <v>9783110349702</v>
      </c>
    </row>
    <row r="3932" spans="1:4" x14ac:dyDescent="0.25">
      <c r="A3932" s="7" t="s">
        <v>8083</v>
      </c>
      <c r="B3932" s="8" t="s">
        <v>8084</v>
      </c>
      <c r="C3932" s="8" t="s">
        <v>993</v>
      </c>
      <c r="D3932" s="8" t="str">
        <f>"9783839458174"</f>
        <v>9783839458174</v>
      </c>
    </row>
    <row r="3933" spans="1:4" x14ac:dyDescent="0.25">
      <c r="A3933" s="7" t="s">
        <v>3876</v>
      </c>
      <c r="B3933" s="8" t="s">
        <v>2552</v>
      </c>
      <c r="C3933" s="8" t="s">
        <v>355</v>
      </c>
      <c r="D3933" s="8" t="str">
        <f>"9783110546330"</f>
        <v>9783110546330</v>
      </c>
    </row>
    <row r="3934" spans="1:4" ht="30" x14ac:dyDescent="0.25">
      <c r="A3934" s="7" t="s">
        <v>15878</v>
      </c>
      <c r="B3934" s="8" t="s">
        <v>15879</v>
      </c>
      <c r="C3934" s="8" t="s">
        <v>1865</v>
      </c>
      <c r="D3934" s="8" t="str">
        <f>"9789176852255"</f>
        <v>9789176852255</v>
      </c>
    </row>
    <row r="3935" spans="1:4" ht="30" x14ac:dyDescent="0.25">
      <c r="A3935" s="7" t="s">
        <v>12518</v>
      </c>
      <c r="B3935" s="8" t="s">
        <v>179</v>
      </c>
      <c r="C3935" s="8" t="s">
        <v>355</v>
      </c>
      <c r="D3935" s="8" t="str">
        <f>"9783110788075"</f>
        <v>9783110788075</v>
      </c>
    </row>
    <row r="3936" spans="1:4" x14ac:dyDescent="0.25">
      <c r="A3936" s="7" t="s">
        <v>11866</v>
      </c>
      <c r="B3936" s="8" t="s">
        <v>11867</v>
      </c>
      <c r="C3936" s="8" t="s">
        <v>355</v>
      </c>
      <c r="D3936" s="8" t="str">
        <f>"9783110720365"</f>
        <v>9783110720365</v>
      </c>
    </row>
    <row r="3937" spans="1:4" ht="30" x14ac:dyDescent="0.25">
      <c r="A3937" s="7" t="s">
        <v>2020</v>
      </c>
      <c r="B3937" s="8" t="s">
        <v>2021</v>
      </c>
      <c r="C3937" s="8" t="s">
        <v>1962</v>
      </c>
      <c r="D3937" s="8" t="str">
        <f>"9782759207305"</f>
        <v>9782759207305</v>
      </c>
    </row>
    <row r="3938" spans="1:4" x14ac:dyDescent="0.25">
      <c r="A3938" s="7" t="s">
        <v>16079</v>
      </c>
      <c r="B3938" s="8" t="s">
        <v>16080</v>
      </c>
      <c r="C3938" s="8" t="s">
        <v>1865</v>
      </c>
      <c r="D3938" s="8" t="str">
        <f>"9789175197890"</f>
        <v>9789175197890</v>
      </c>
    </row>
    <row r="3939" spans="1:4" ht="30" x14ac:dyDescent="0.25">
      <c r="A3939" s="7" t="s">
        <v>3682</v>
      </c>
      <c r="B3939" s="8" t="s">
        <v>3683</v>
      </c>
      <c r="C3939" s="8" t="s">
        <v>1865</v>
      </c>
      <c r="D3939" s="8" t="str">
        <f>"9789176852859"</f>
        <v>9789176852859</v>
      </c>
    </row>
    <row r="3940" spans="1:4" x14ac:dyDescent="0.25">
      <c r="A3940" s="7" t="s">
        <v>6575</v>
      </c>
      <c r="B3940" s="8" t="s">
        <v>6576</v>
      </c>
      <c r="C3940" s="8" t="s">
        <v>2273</v>
      </c>
      <c r="D3940" s="8" t="str">
        <f>"9783030527389"</f>
        <v>9783030527389</v>
      </c>
    </row>
    <row r="3941" spans="1:4" ht="45" x14ac:dyDescent="0.25">
      <c r="A3941" s="7" t="s">
        <v>11908</v>
      </c>
      <c r="B3941" s="8" t="s">
        <v>11909</v>
      </c>
      <c r="C3941" s="8" t="s">
        <v>355</v>
      </c>
      <c r="D3941" s="8" t="str">
        <f>"9783110731378"</f>
        <v>9783110731378</v>
      </c>
    </row>
    <row r="3942" spans="1:4" x14ac:dyDescent="0.25">
      <c r="A3942" s="7" t="s">
        <v>840</v>
      </c>
      <c r="B3942" s="8" t="s">
        <v>841</v>
      </c>
      <c r="C3942" s="8" t="s">
        <v>355</v>
      </c>
      <c r="D3942" s="8" t="str">
        <f>"9783110353716"</f>
        <v>9783110353716</v>
      </c>
    </row>
    <row r="3943" spans="1:4" ht="30" x14ac:dyDescent="0.25">
      <c r="A3943" s="7" t="s">
        <v>9466</v>
      </c>
      <c r="B3943" s="8" t="s">
        <v>9467</v>
      </c>
      <c r="C3943" s="8" t="s">
        <v>2273</v>
      </c>
      <c r="D3943" s="8" t="str">
        <f>"9783030861865"</f>
        <v>9783030861865</v>
      </c>
    </row>
    <row r="3944" spans="1:4" ht="30" x14ac:dyDescent="0.25">
      <c r="A3944" s="7" t="s">
        <v>12041</v>
      </c>
      <c r="B3944" s="8" t="s">
        <v>12042</v>
      </c>
      <c r="C3944" s="8" t="s">
        <v>355</v>
      </c>
      <c r="D3944" s="8" t="str">
        <f>"9783110709858"</f>
        <v>9783110709858</v>
      </c>
    </row>
    <row r="3945" spans="1:4" x14ac:dyDescent="0.25">
      <c r="A3945" s="7" t="s">
        <v>5327</v>
      </c>
      <c r="B3945" s="8" t="s">
        <v>5328</v>
      </c>
      <c r="C3945" s="8" t="s">
        <v>2273</v>
      </c>
      <c r="D3945" s="8" t="str">
        <f>"9783319235769"</f>
        <v>9783319235769</v>
      </c>
    </row>
    <row r="3946" spans="1:4" x14ac:dyDescent="0.25">
      <c r="A3946" s="7" t="s">
        <v>8724</v>
      </c>
      <c r="B3946" s="8" t="s">
        <v>8725</v>
      </c>
      <c r="C3946" s="8" t="s">
        <v>5358</v>
      </c>
      <c r="D3946" s="8" t="str">
        <f>"9781789247565"</f>
        <v>9781789247565</v>
      </c>
    </row>
    <row r="3947" spans="1:4" ht="30" x14ac:dyDescent="0.25">
      <c r="A3947" s="7" t="s">
        <v>3096</v>
      </c>
      <c r="B3947" s="8" t="s">
        <v>3097</v>
      </c>
      <c r="C3947" s="8" t="s">
        <v>1345</v>
      </c>
      <c r="D3947" s="8" t="str">
        <f>"9783737602815"</f>
        <v>9783737602815</v>
      </c>
    </row>
    <row r="3948" spans="1:4" x14ac:dyDescent="0.25">
      <c r="A3948" s="7" t="s">
        <v>12444</v>
      </c>
      <c r="B3948" s="8" t="s">
        <v>12445</v>
      </c>
      <c r="C3948" s="8" t="s">
        <v>2273</v>
      </c>
      <c r="D3948" s="8" t="str">
        <f>"9783030995461"</f>
        <v>9783030995461</v>
      </c>
    </row>
    <row r="3949" spans="1:4" x14ac:dyDescent="0.25">
      <c r="A3949" s="7" t="s">
        <v>5832</v>
      </c>
      <c r="B3949" s="8" t="s">
        <v>5833</v>
      </c>
      <c r="C3949" s="8" t="s">
        <v>2273</v>
      </c>
      <c r="D3949" s="8" t="str">
        <f>"9783319162560"</f>
        <v>9783319162560</v>
      </c>
    </row>
    <row r="3950" spans="1:4" x14ac:dyDescent="0.25">
      <c r="A3950" s="7" t="s">
        <v>11045</v>
      </c>
      <c r="B3950" s="8" t="s">
        <v>11046</v>
      </c>
      <c r="C3950" s="8" t="s">
        <v>2273</v>
      </c>
      <c r="D3950" s="8" t="str">
        <f>"9783030989859"</f>
        <v>9783030989859</v>
      </c>
    </row>
    <row r="3951" spans="1:4" ht="30" x14ac:dyDescent="0.25">
      <c r="A3951" s="7" t="s">
        <v>4439</v>
      </c>
      <c r="B3951" s="8" t="s">
        <v>4440</v>
      </c>
      <c r="C3951" s="8" t="s">
        <v>1345</v>
      </c>
      <c r="D3951" s="8" t="str">
        <f>"9783737606936"</f>
        <v>9783737606936</v>
      </c>
    </row>
    <row r="3952" spans="1:4" ht="30" x14ac:dyDescent="0.25">
      <c r="A3952" s="7" t="s">
        <v>12856</v>
      </c>
      <c r="B3952" s="8" t="s">
        <v>12857</v>
      </c>
      <c r="C3952" s="8" t="s">
        <v>12712</v>
      </c>
      <c r="D3952" s="8" t="str">
        <f>"9783428437214"</f>
        <v>9783428437214</v>
      </c>
    </row>
    <row r="3953" spans="1:4" ht="30" x14ac:dyDescent="0.25">
      <c r="A3953" s="7" t="s">
        <v>9804</v>
      </c>
      <c r="B3953" s="8" t="s">
        <v>9805</v>
      </c>
      <c r="C3953" s="8" t="s">
        <v>993</v>
      </c>
      <c r="D3953" s="8" t="str">
        <f>"9783839405031"</f>
        <v>9783839405031</v>
      </c>
    </row>
    <row r="3954" spans="1:4" x14ac:dyDescent="0.25">
      <c r="A3954" s="7" t="s">
        <v>15830</v>
      </c>
      <c r="B3954" s="8" t="s">
        <v>15831</v>
      </c>
      <c r="C3954" s="8" t="s">
        <v>1865</v>
      </c>
      <c r="D3954" s="8" t="str">
        <f>"9789180750691"</f>
        <v>9789180750691</v>
      </c>
    </row>
    <row r="3955" spans="1:4" x14ac:dyDescent="0.25">
      <c r="A3955" s="7" t="s">
        <v>15758</v>
      </c>
      <c r="B3955" s="8" t="s">
        <v>3475</v>
      </c>
      <c r="C3955" s="8" t="s">
        <v>1865</v>
      </c>
      <c r="D3955" s="8" t="str">
        <f>"9789175194172"</f>
        <v>9789175194172</v>
      </c>
    </row>
    <row r="3956" spans="1:4" ht="30" x14ac:dyDescent="0.25">
      <c r="A3956" s="7" t="s">
        <v>1774</v>
      </c>
      <c r="B3956" s="8" t="s">
        <v>1775</v>
      </c>
      <c r="C3956" s="8" t="s">
        <v>1345</v>
      </c>
      <c r="D3956" s="8" t="str">
        <f>"9783862197156"</f>
        <v>9783862197156</v>
      </c>
    </row>
    <row r="3957" spans="1:4" x14ac:dyDescent="0.25">
      <c r="A3957" s="7" t="s">
        <v>2272</v>
      </c>
      <c r="B3957" s="8" t="s">
        <v>2275</v>
      </c>
      <c r="C3957" s="8" t="s">
        <v>2273</v>
      </c>
      <c r="D3957" s="8" t="str">
        <f>"9783319216744"</f>
        <v>9783319216744</v>
      </c>
    </row>
    <row r="3958" spans="1:4" x14ac:dyDescent="0.25">
      <c r="A3958" s="7" t="s">
        <v>15515</v>
      </c>
      <c r="B3958" s="8" t="s">
        <v>15516</v>
      </c>
      <c r="C3958" s="8" t="s">
        <v>1865</v>
      </c>
      <c r="D3958" s="8" t="str">
        <f>"9789185831654"</f>
        <v>9789185831654</v>
      </c>
    </row>
    <row r="3959" spans="1:4" x14ac:dyDescent="0.25">
      <c r="A3959" s="7" t="s">
        <v>7553</v>
      </c>
      <c r="B3959" s="8" t="s">
        <v>7554</v>
      </c>
      <c r="C3959" s="8" t="s">
        <v>993</v>
      </c>
      <c r="D3959" s="8" t="str">
        <f>"9783839414385"</f>
        <v>9783839414385</v>
      </c>
    </row>
    <row r="3960" spans="1:4" ht="30" x14ac:dyDescent="0.25">
      <c r="A3960" s="7" t="s">
        <v>13740</v>
      </c>
      <c r="B3960" s="8" t="s">
        <v>13741</v>
      </c>
      <c r="C3960" s="8" t="s">
        <v>5134</v>
      </c>
      <c r="D3960" s="8" t="str">
        <f>"9783662662274"</f>
        <v>9783662662274</v>
      </c>
    </row>
    <row r="3961" spans="1:4" ht="30" x14ac:dyDescent="0.25">
      <c r="A3961" s="7" t="s">
        <v>13719</v>
      </c>
      <c r="B3961" s="8" t="s">
        <v>13720</v>
      </c>
      <c r="C3961" s="8" t="s">
        <v>993</v>
      </c>
      <c r="D3961" s="8" t="str">
        <f>"9783839464939"</f>
        <v>9783839464939</v>
      </c>
    </row>
    <row r="3962" spans="1:4" ht="30" x14ac:dyDescent="0.25">
      <c r="A3962" s="7" t="s">
        <v>6275</v>
      </c>
      <c r="B3962" s="8" t="s">
        <v>6276</v>
      </c>
      <c r="C3962" s="8" t="s">
        <v>5484</v>
      </c>
      <c r="D3962" s="8" t="str">
        <f>"9781430268383"</f>
        <v>9781430268383</v>
      </c>
    </row>
    <row r="3963" spans="1:4" ht="30" x14ac:dyDescent="0.25">
      <c r="A3963" s="7" t="s">
        <v>6052</v>
      </c>
      <c r="B3963" s="8" t="s">
        <v>6053</v>
      </c>
      <c r="C3963" s="8" t="s">
        <v>5484</v>
      </c>
      <c r="D3963" s="8" t="str">
        <f>"9781430261490"</f>
        <v>9781430261490</v>
      </c>
    </row>
    <row r="3964" spans="1:4" ht="30" x14ac:dyDescent="0.25">
      <c r="A3964" s="7" t="s">
        <v>13999</v>
      </c>
      <c r="B3964" s="8" t="s">
        <v>14000</v>
      </c>
      <c r="C3964" s="8" t="s">
        <v>13997</v>
      </c>
      <c r="D3964" s="8" t="str">
        <f>"9789566095033"</f>
        <v>9789566095033</v>
      </c>
    </row>
    <row r="3965" spans="1:4" x14ac:dyDescent="0.25">
      <c r="A3965" s="7" t="s">
        <v>2677</v>
      </c>
      <c r="B3965" s="8" t="s">
        <v>2678</v>
      </c>
      <c r="C3965" s="8" t="s">
        <v>1879</v>
      </c>
      <c r="D3965" s="8" t="str">
        <f>"9781783742301"</f>
        <v>9781783742301</v>
      </c>
    </row>
    <row r="3966" spans="1:4" ht="30" x14ac:dyDescent="0.25">
      <c r="A3966" s="7" t="s">
        <v>10105</v>
      </c>
      <c r="B3966" s="8" t="s">
        <v>10106</v>
      </c>
      <c r="C3966" s="8" t="s">
        <v>993</v>
      </c>
      <c r="D3966" s="8" t="str">
        <f>"9783839434185"</f>
        <v>9783839434185</v>
      </c>
    </row>
    <row r="3967" spans="1:4" x14ac:dyDescent="0.25">
      <c r="A3967" s="7" t="s">
        <v>9110</v>
      </c>
      <c r="B3967" s="8" t="s">
        <v>9111</v>
      </c>
      <c r="C3967" s="8" t="s">
        <v>2273</v>
      </c>
      <c r="D3967" s="8" t="str">
        <f>"9783030793531"</f>
        <v>9783030793531</v>
      </c>
    </row>
    <row r="3968" spans="1:4" x14ac:dyDescent="0.25">
      <c r="A3968" s="7" t="s">
        <v>6335</v>
      </c>
      <c r="B3968" s="8" t="s">
        <v>6336</v>
      </c>
      <c r="C3968" s="8" t="s">
        <v>1865</v>
      </c>
      <c r="D3968" s="8" t="str">
        <f>"9789179297121"</f>
        <v>9789179297121</v>
      </c>
    </row>
    <row r="3969" spans="1:4" ht="30" x14ac:dyDescent="0.25">
      <c r="A3969" s="7" t="s">
        <v>941</v>
      </c>
      <c r="B3969" s="8" t="s">
        <v>14</v>
      </c>
      <c r="C3969" s="8" t="s">
        <v>355</v>
      </c>
      <c r="D3969" s="8" t="str">
        <f>"9783110409697"</f>
        <v>9783110409697</v>
      </c>
    </row>
    <row r="3970" spans="1:4" ht="30" x14ac:dyDescent="0.25">
      <c r="A3970" s="7" t="s">
        <v>14675</v>
      </c>
      <c r="B3970" s="8" t="s">
        <v>14676</v>
      </c>
      <c r="C3970" s="8" t="s">
        <v>1865</v>
      </c>
      <c r="D3970" s="8" t="str">
        <f>"9789179292416"</f>
        <v>9789179292416</v>
      </c>
    </row>
    <row r="3971" spans="1:4" x14ac:dyDescent="0.25">
      <c r="A3971" s="7" t="s">
        <v>14717</v>
      </c>
      <c r="B3971" s="8" t="s">
        <v>14718</v>
      </c>
      <c r="C3971" s="8" t="s">
        <v>1865</v>
      </c>
      <c r="D3971" s="8" t="str">
        <f>"9789173938525"</f>
        <v>9789173938525</v>
      </c>
    </row>
    <row r="3972" spans="1:4" x14ac:dyDescent="0.25">
      <c r="A3972" s="7" t="s">
        <v>4403</v>
      </c>
      <c r="B3972" s="8" t="s">
        <v>4404</v>
      </c>
      <c r="C3972" s="8" t="s">
        <v>1865</v>
      </c>
      <c r="D3972" s="8" t="str">
        <f>"9789176850848"</f>
        <v>9789176850848</v>
      </c>
    </row>
    <row r="3973" spans="1:4" x14ac:dyDescent="0.25">
      <c r="A3973" s="7" t="s">
        <v>9246</v>
      </c>
      <c r="B3973" s="8" t="s">
        <v>5093</v>
      </c>
      <c r="C3973" s="8" t="s">
        <v>2273</v>
      </c>
      <c r="D3973" s="8" t="str">
        <f>"9783030708252"</f>
        <v>9783030708252</v>
      </c>
    </row>
    <row r="3974" spans="1:4" ht="30" x14ac:dyDescent="0.25">
      <c r="A3974" s="7" t="s">
        <v>13944</v>
      </c>
      <c r="B3974" s="8" t="s">
        <v>7622</v>
      </c>
      <c r="C3974" s="8" t="s">
        <v>2273</v>
      </c>
      <c r="D3974" s="8" t="str">
        <f>"9783031111082"</f>
        <v>9783031111082</v>
      </c>
    </row>
    <row r="3975" spans="1:4" ht="30" x14ac:dyDescent="0.25">
      <c r="A3975" s="7" t="s">
        <v>12223</v>
      </c>
      <c r="B3975" s="8" t="s">
        <v>12224</v>
      </c>
      <c r="C3975" s="8" t="s">
        <v>2273</v>
      </c>
      <c r="D3975" s="8" t="str">
        <f>"9783031039560"</f>
        <v>9783031039560</v>
      </c>
    </row>
    <row r="3976" spans="1:4" x14ac:dyDescent="0.25">
      <c r="A3976" s="7" t="s">
        <v>5848</v>
      </c>
      <c r="B3976" s="8" t="s">
        <v>5849</v>
      </c>
      <c r="C3976" s="8" t="s">
        <v>2273</v>
      </c>
      <c r="D3976" s="8" t="str">
        <f>"9783319422671"</f>
        <v>9783319422671</v>
      </c>
    </row>
    <row r="3977" spans="1:4" ht="30" x14ac:dyDescent="0.25">
      <c r="A3977" s="7" t="s">
        <v>7893</v>
      </c>
      <c r="B3977" s="8" t="s">
        <v>7894</v>
      </c>
      <c r="C3977" s="8" t="s">
        <v>2273</v>
      </c>
      <c r="D3977" s="8" t="str">
        <f>"9783030638924"</f>
        <v>9783030638924</v>
      </c>
    </row>
    <row r="3978" spans="1:4" ht="30" x14ac:dyDescent="0.25">
      <c r="A3978" s="7" t="s">
        <v>10290</v>
      </c>
      <c r="B3978" s="8" t="s">
        <v>10291</v>
      </c>
      <c r="C3978" s="8" t="s">
        <v>993</v>
      </c>
      <c r="D3978" s="8" t="str">
        <f>"9783839447963"</f>
        <v>9783839447963</v>
      </c>
    </row>
    <row r="3979" spans="1:4" ht="30" x14ac:dyDescent="0.25">
      <c r="A3979" s="7" t="s">
        <v>6169</v>
      </c>
      <c r="B3979" s="8" t="s">
        <v>5791</v>
      </c>
      <c r="C3979" s="8" t="s">
        <v>5107</v>
      </c>
      <c r="D3979" s="8" t="str">
        <f>"9784431551928"</f>
        <v>9784431551928</v>
      </c>
    </row>
    <row r="3980" spans="1:4" ht="30" x14ac:dyDescent="0.25">
      <c r="A3980" s="7" t="s">
        <v>5790</v>
      </c>
      <c r="B3980" s="8" t="s">
        <v>5791</v>
      </c>
      <c r="C3980" s="8" t="s">
        <v>4245</v>
      </c>
      <c r="D3980" s="8" t="str">
        <f>"9789811015601"</f>
        <v>9789811015601</v>
      </c>
    </row>
    <row r="3981" spans="1:4" x14ac:dyDescent="0.25">
      <c r="A3981" s="7" t="s">
        <v>2134</v>
      </c>
      <c r="B3981" s="8" t="s">
        <v>2135</v>
      </c>
      <c r="C3981" s="8" t="s">
        <v>1865</v>
      </c>
      <c r="D3981" s="8" t="str">
        <f>"9789175190778"</f>
        <v>9789175190778</v>
      </c>
    </row>
    <row r="3982" spans="1:4" x14ac:dyDescent="0.25">
      <c r="A3982" s="7" t="s">
        <v>8073</v>
      </c>
      <c r="B3982" s="8" t="s">
        <v>8074</v>
      </c>
      <c r="C3982" s="8" t="s">
        <v>1865</v>
      </c>
      <c r="D3982" s="8" t="str">
        <f>"9789179290054"</f>
        <v>9789179290054</v>
      </c>
    </row>
    <row r="3983" spans="1:4" x14ac:dyDescent="0.25">
      <c r="A3983" s="7" t="s">
        <v>15158</v>
      </c>
      <c r="B3983" s="8" t="s">
        <v>15159</v>
      </c>
      <c r="C3983" s="8" t="s">
        <v>1865</v>
      </c>
      <c r="D3983" s="8" t="str">
        <f>"9789175190280"</f>
        <v>9789175190280</v>
      </c>
    </row>
    <row r="3984" spans="1:4" x14ac:dyDescent="0.25">
      <c r="A3984" s="7" t="s">
        <v>2815</v>
      </c>
      <c r="B3984" s="8" t="s">
        <v>2816</v>
      </c>
      <c r="C3984" s="8" t="s">
        <v>1345</v>
      </c>
      <c r="D3984" s="8" t="str">
        <f>"9783737601795"</f>
        <v>9783737601795</v>
      </c>
    </row>
    <row r="3985" spans="1:4" x14ac:dyDescent="0.25">
      <c r="A3985" s="7" t="s">
        <v>3995</v>
      </c>
      <c r="B3985" s="8" t="s">
        <v>3996</v>
      </c>
      <c r="C3985" s="8" t="s">
        <v>1345</v>
      </c>
      <c r="D3985" s="8" t="str">
        <f>"9783737605533"</f>
        <v>9783737605533</v>
      </c>
    </row>
    <row r="3986" spans="1:4" x14ac:dyDescent="0.25">
      <c r="A3986" s="7" t="s">
        <v>5898</v>
      </c>
      <c r="B3986" s="8" t="s">
        <v>5899</v>
      </c>
      <c r="C3986" s="8" t="s">
        <v>2273</v>
      </c>
      <c r="D3986" s="8" t="str">
        <f>"9783319444314"</f>
        <v>9783319444314</v>
      </c>
    </row>
    <row r="3987" spans="1:4" ht="30" x14ac:dyDescent="0.25">
      <c r="A3987" s="7" t="s">
        <v>5924</v>
      </c>
      <c r="B3987" s="8" t="s">
        <v>5925</v>
      </c>
      <c r="C3987" s="8" t="s">
        <v>2273</v>
      </c>
      <c r="D3987" s="8" t="str">
        <f>"9783319230962"</f>
        <v>9783319230962</v>
      </c>
    </row>
    <row r="3988" spans="1:4" x14ac:dyDescent="0.25">
      <c r="A3988" s="7" t="s">
        <v>9957</v>
      </c>
      <c r="B3988" s="8" t="s">
        <v>9958</v>
      </c>
      <c r="C3988" s="8" t="s">
        <v>993</v>
      </c>
      <c r="D3988" s="8" t="str">
        <f>"9783839408810"</f>
        <v>9783839408810</v>
      </c>
    </row>
    <row r="3989" spans="1:4" ht="30" x14ac:dyDescent="0.25">
      <c r="A3989" s="7" t="s">
        <v>9771</v>
      </c>
      <c r="B3989" s="8" t="s">
        <v>9772</v>
      </c>
      <c r="C3989" s="8" t="s">
        <v>993</v>
      </c>
      <c r="D3989" s="8" t="str">
        <f>"9783839404348"</f>
        <v>9783839404348</v>
      </c>
    </row>
    <row r="3990" spans="1:4" ht="30" x14ac:dyDescent="0.25">
      <c r="A3990" s="7" t="s">
        <v>9038</v>
      </c>
      <c r="B3990" s="8" t="s">
        <v>9039</v>
      </c>
      <c r="C3990" s="8" t="s">
        <v>2273</v>
      </c>
      <c r="D3990" s="8" t="str">
        <f>"9783030812072"</f>
        <v>9783030812072</v>
      </c>
    </row>
    <row r="3991" spans="1:4" ht="30" x14ac:dyDescent="0.25">
      <c r="A3991" s="7" t="s">
        <v>10095</v>
      </c>
      <c r="B3991" s="8" t="s">
        <v>10096</v>
      </c>
      <c r="C3991" s="8" t="s">
        <v>993</v>
      </c>
      <c r="D3991" s="8" t="str">
        <f>"9783839433461"</f>
        <v>9783839433461</v>
      </c>
    </row>
    <row r="3992" spans="1:4" ht="30" x14ac:dyDescent="0.25">
      <c r="A3992" s="7" t="s">
        <v>4676</v>
      </c>
      <c r="B3992" s="8" t="s">
        <v>4677</v>
      </c>
      <c r="C3992" s="8" t="s">
        <v>1865</v>
      </c>
      <c r="D3992" s="8" t="str">
        <f>"9789176850183"</f>
        <v>9789176850183</v>
      </c>
    </row>
    <row r="3993" spans="1:4" x14ac:dyDescent="0.25">
      <c r="A3993" s="7" t="s">
        <v>6262</v>
      </c>
      <c r="B3993" s="8" t="s">
        <v>6263</v>
      </c>
      <c r="C3993" s="8" t="s">
        <v>2273</v>
      </c>
      <c r="D3993" s="8" t="str">
        <f>"9783030528812"</f>
        <v>9783030528812</v>
      </c>
    </row>
    <row r="3994" spans="1:4" x14ac:dyDescent="0.25">
      <c r="A3994" s="7" t="s">
        <v>14436</v>
      </c>
      <c r="B3994" s="8" t="s">
        <v>14437</v>
      </c>
      <c r="C3994" s="8" t="s">
        <v>1865</v>
      </c>
      <c r="D3994" s="8" t="str">
        <f>"9789179292959"</f>
        <v>9789179292959</v>
      </c>
    </row>
    <row r="3995" spans="1:4" ht="45" x14ac:dyDescent="0.25">
      <c r="A3995" s="7" t="s">
        <v>12676</v>
      </c>
      <c r="B3995" s="8" t="s">
        <v>12677</v>
      </c>
      <c r="C3995" s="8" t="s">
        <v>5086</v>
      </c>
      <c r="D3995" s="8" t="str">
        <f>"9783658389451"</f>
        <v>9783658389451</v>
      </c>
    </row>
    <row r="3996" spans="1:4" x14ac:dyDescent="0.25">
      <c r="A3996" s="7" t="s">
        <v>12191</v>
      </c>
      <c r="B3996" s="8" t="s">
        <v>12192</v>
      </c>
      <c r="C3996" s="8" t="s">
        <v>2273</v>
      </c>
      <c r="D3996" s="8" t="str">
        <f>"9783030983512"</f>
        <v>9783030983512</v>
      </c>
    </row>
    <row r="3997" spans="1:4" ht="30" x14ac:dyDescent="0.25">
      <c r="A3997" s="7" t="s">
        <v>5758</v>
      </c>
      <c r="B3997" s="8" t="s">
        <v>202</v>
      </c>
      <c r="C3997" s="8" t="s">
        <v>2273</v>
      </c>
      <c r="D3997" s="8" t="str">
        <f>"9783319424149"</f>
        <v>9783319424149</v>
      </c>
    </row>
    <row r="3998" spans="1:4" ht="30" x14ac:dyDescent="0.25">
      <c r="A3998" s="7" t="s">
        <v>11350</v>
      </c>
      <c r="B3998" s="8" t="s">
        <v>11351</v>
      </c>
      <c r="C3998" s="8" t="s">
        <v>355</v>
      </c>
      <c r="D3998" s="8" t="str">
        <f>"9783110679977"</f>
        <v>9783110679977</v>
      </c>
    </row>
    <row r="3999" spans="1:4" x14ac:dyDescent="0.25">
      <c r="A3999" s="7" t="s">
        <v>8092</v>
      </c>
      <c r="B3999" s="8" t="s">
        <v>6462</v>
      </c>
      <c r="C3999" s="8" t="s">
        <v>2273</v>
      </c>
      <c r="D3999" s="8" t="str">
        <f>"9783030788933"</f>
        <v>9783030788933</v>
      </c>
    </row>
    <row r="4000" spans="1:4" x14ac:dyDescent="0.25">
      <c r="A4000" s="7" t="s">
        <v>12582</v>
      </c>
      <c r="B4000" s="8" t="s">
        <v>12583</v>
      </c>
      <c r="C4000" s="8" t="s">
        <v>355</v>
      </c>
      <c r="D4000" s="8" t="str">
        <f>"9783110618150"</f>
        <v>9783110618150</v>
      </c>
    </row>
    <row r="4001" spans="1:4" x14ac:dyDescent="0.25">
      <c r="A4001" s="7" t="s">
        <v>9237</v>
      </c>
      <c r="B4001" s="8" t="s">
        <v>9238</v>
      </c>
      <c r="C4001" s="8" t="s">
        <v>2273</v>
      </c>
      <c r="D4001" s="8" t="str">
        <f>"9783030866457"</f>
        <v>9783030866457</v>
      </c>
    </row>
    <row r="4002" spans="1:4" ht="30" x14ac:dyDescent="0.25">
      <c r="A4002" s="7" t="s">
        <v>3316</v>
      </c>
      <c r="B4002" s="8" t="s">
        <v>3317</v>
      </c>
      <c r="C4002" s="8" t="s">
        <v>1345</v>
      </c>
      <c r="D4002" s="8" t="str">
        <f>"9783862199457"</f>
        <v>9783862199457</v>
      </c>
    </row>
    <row r="4003" spans="1:4" x14ac:dyDescent="0.25">
      <c r="A4003" s="7" t="s">
        <v>5400</v>
      </c>
      <c r="B4003" s="8" t="s">
        <v>5401</v>
      </c>
      <c r="C4003" s="8" t="s">
        <v>2273</v>
      </c>
      <c r="D4003" s="8" t="str">
        <f>"9783030554002"</f>
        <v>9783030554002</v>
      </c>
    </row>
    <row r="4004" spans="1:4" x14ac:dyDescent="0.25">
      <c r="A4004" s="7" t="s">
        <v>6730</v>
      </c>
      <c r="B4004" s="8" t="s">
        <v>6731</v>
      </c>
      <c r="C4004" s="8" t="s">
        <v>2273</v>
      </c>
      <c r="D4004" s="8" t="str">
        <f>"9783030654399"</f>
        <v>9783030654399</v>
      </c>
    </row>
    <row r="4005" spans="1:4" x14ac:dyDescent="0.25">
      <c r="A4005" s="7" t="s">
        <v>14213</v>
      </c>
      <c r="B4005" s="8" t="s">
        <v>14214</v>
      </c>
      <c r="C4005" s="8" t="s">
        <v>9256</v>
      </c>
      <c r="D4005" s="8" t="str">
        <f>"9788028001094"</f>
        <v>9788028001094</v>
      </c>
    </row>
    <row r="4006" spans="1:4" ht="30" x14ac:dyDescent="0.25">
      <c r="A4006" s="7" t="s">
        <v>6291</v>
      </c>
      <c r="B4006" s="8" t="s">
        <v>6292</v>
      </c>
      <c r="C4006" s="8" t="s">
        <v>2273</v>
      </c>
      <c r="D4006" s="8" t="str">
        <f>"9783030478520"</f>
        <v>9783030478520</v>
      </c>
    </row>
    <row r="4007" spans="1:4" ht="30" x14ac:dyDescent="0.25">
      <c r="A4007" s="7" t="s">
        <v>5420</v>
      </c>
      <c r="B4007" s="8" t="s">
        <v>5421</v>
      </c>
      <c r="C4007" s="8" t="s">
        <v>4245</v>
      </c>
      <c r="D4007" s="8" t="str">
        <f>"9789811551918"</f>
        <v>9789811551918</v>
      </c>
    </row>
    <row r="4008" spans="1:4" x14ac:dyDescent="0.25">
      <c r="A4008" s="7" t="s">
        <v>12919</v>
      </c>
      <c r="B4008" s="8" t="s">
        <v>12920</v>
      </c>
      <c r="C4008" s="8" t="s">
        <v>12712</v>
      </c>
      <c r="D4008" s="8" t="str">
        <f>"9783428448524"</f>
        <v>9783428448524</v>
      </c>
    </row>
    <row r="4009" spans="1:4" x14ac:dyDescent="0.25">
      <c r="A4009" s="7" t="s">
        <v>7261</v>
      </c>
      <c r="B4009" s="8" t="s">
        <v>7262</v>
      </c>
      <c r="C4009" s="8" t="s">
        <v>355</v>
      </c>
      <c r="D4009" s="8" t="str">
        <f>"9783110615876"</f>
        <v>9783110615876</v>
      </c>
    </row>
    <row r="4010" spans="1:4" ht="30" x14ac:dyDescent="0.25">
      <c r="A4010" s="7" t="s">
        <v>13979</v>
      </c>
      <c r="B4010" s="8" t="s">
        <v>13980</v>
      </c>
      <c r="C4010" s="8" t="s">
        <v>5086</v>
      </c>
      <c r="D4010" s="8" t="str">
        <f>"9783658396374"</f>
        <v>9783658396374</v>
      </c>
    </row>
    <row r="4011" spans="1:4" ht="30" x14ac:dyDescent="0.25">
      <c r="A4011" s="7" t="s">
        <v>12009</v>
      </c>
      <c r="B4011" s="8" t="s">
        <v>12010</v>
      </c>
      <c r="C4011" s="8" t="s">
        <v>355</v>
      </c>
      <c r="D4011" s="8" t="str">
        <f>"9783110732283"</f>
        <v>9783110732283</v>
      </c>
    </row>
    <row r="4012" spans="1:4" ht="30" x14ac:dyDescent="0.25">
      <c r="A4012" s="7" t="s">
        <v>6366</v>
      </c>
      <c r="B4012" s="8" t="s">
        <v>6367</v>
      </c>
      <c r="C4012" s="8" t="s">
        <v>5086</v>
      </c>
      <c r="D4012" s="8" t="str">
        <f>"9783658323899"</f>
        <v>9783658323899</v>
      </c>
    </row>
    <row r="4013" spans="1:4" ht="45" x14ac:dyDescent="0.25">
      <c r="A4013" s="7" t="s">
        <v>3770</v>
      </c>
      <c r="B4013" s="8" t="s">
        <v>1408</v>
      </c>
      <c r="C4013" s="8" t="s">
        <v>1345</v>
      </c>
      <c r="D4013" s="8" t="str">
        <f>"9783737605113"</f>
        <v>9783737605113</v>
      </c>
    </row>
    <row r="4014" spans="1:4" ht="30" x14ac:dyDescent="0.25">
      <c r="A4014" s="7" t="s">
        <v>1527</v>
      </c>
      <c r="B4014" s="8" t="s">
        <v>1528</v>
      </c>
      <c r="C4014" s="8" t="s">
        <v>1345</v>
      </c>
      <c r="D4014" s="8" t="str">
        <f>"9783862194490"</f>
        <v>9783862194490</v>
      </c>
    </row>
    <row r="4015" spans="1:4" x14ac:dyDescent="0.25">
      <c r="A4015" s="7" t="s">
        <v>10336</v>
      </c>
      <c r="B4015" s="8" t="s">
        <v>10337</v>
      </c>
      <c r="C4015" s="8" t="s">
        <v>993</v>
      </c>
      <c r="D4015" s="8" t="str">
        <f>"9783839449462"</f>
        <v>9783839449462</v>
      </c>
    </row>
    <row r="4016" spans="1:4" ht="30" x14ac:dyDescent="0.25">
      <c r="A4016" s="7" t="s">
        <v>5118</v>
      </c>
      <c r="B4016" s="8" t="s">
        <v>5119</v>
      </c>
      <c r="C4016" s="8" t="s">
        <v>1865</v>
      </c>
      <c r="D4016" s="8" t="str">
        <f>"9789179298821"</f>
        <v>9789179298821</v>
      </c>
    </row>
    <row r="4017" spans="1:4" ht="30" x14ac:dyDescent="0.25">
      <c r="A4017" s="7" t="s">
        <v>14456</v>
      </c>
      <c r="B4017" s="8" t="s">
        <v>14457</v>
      </c>
      <c r="C4017" s="8" t="s">
        <v>1865</v>
      </c>
      <c r="D4017" s="8" t="str">
        <f>"9789179293796"</f>
        <v>9789179293796</v>
      </c>
    </row>
    <row r="4018" spans="1:4" ht="30" x14ac:dyDescent="0.25">
      <c r="A4018" s="7" t="s">
        <v>14604</v>
      </c>
      <c r="B4018" s="8" t="s">
        <v>14605</v>
      </c>
      <c r="C4018" s="8" t="s">
        <v>1865</v>
      </c>
      <c r="D4018" s="8" t="str">
        <f>"9789179290580"</f>
        <v>9789179290580</v>
      </c>
    </row>
    <row r="4019" spans="1:4" ht="30" x14ac:dyDescent="0.25">
      <c r="A4019" s="7" t="s">
        <v>14490</v>
      </c>
      <c r="B4019" s="8" t="s">
        <v>14491</v>
      </c>
      <c r="C4019" s="8" t="s">
        <v>1865</v>
      </c>
      <c r="D4019" s="8" t="str">
        <f>"9789179291402"</f>
        <v>9789179291402</v>
      </c>
    </row>
    <row r="4020" spans="1:4" x14ac:dyDescent="0.25">
      <c r="A4020" s="7" t="s">
        <v>13627</v>
      </c>
      <c r="B4020" s="8" t="s">
        <v>13628</v>
      </c>
      <c r="C4020" s="8" t="s">
        <v>993</v>
      </c>
      <c r="D4020" s="8" t="str">
        <f>"9783839459270"</f>
        <v>9783839459270</v>
      </c>
    </row>
    <row r="4021" spans="1:4" ht="30" x14ac:dyDescent="0.25">
      <c r="A4021" s="7" t="s">
        <v>3073</v>
      </c>
      <c r="B4021" s="8" t="s">
        <v>3074</v>
      </c>
      <c r="C4021" s="8" t="s">
        <v>1865</v>
      </c>
      <c r="D4021" s="8" t="str">
        <f>"9789176855652"</f>
        <v>9789176855652</v>
      </c>
    </row>
    <row r="4022" spans="1:4" x14ac:dyDescent="0.25">
      <c r="A4022" s="7" t="s">
        <v>15297</v>
      </c>
      <c r="B4022" s="8" t="s">
        <v>15298</v>
      </c>
      <c r="C4022" s="8" t="s">
        <v>1865</v>
      </c>
      <c r="D4022" s="8" t="str">
        <f>"9789176856901"</f>
        <v>9789176856901</v>
      </c>
    </row>
    <row r="4023" spans="1:4" x14ac:dyDescent="0.25">
      <c r="A4023" s="7" t="s">
        <v>9057</v>
      </c>
      <c r="B4023" s="8" t="s">
        <v>9058</v>
      </c>
      <c r="C4023" s="8" t="s">
        <v>562</v>
      </c>
      <c r="D4023" s="8" t="str">
        <f>"9781478091769"</f>
        <v>9781478091769</v>
      </c>
    </row>
    <row r="4024" spans="1:4" ht="30" x14ac:dyDescent="0.25">
      <c r="A4024" s="7" t="s">
        <v>14062</v>
      </c>
      <c r="B4024" s="8" t="s">
        <v>14063</v>
      </c>
      <c r="C4024" s="8" t="s">
        <v>13997</v>
      </c>
      <c r="D4024" s="8" t="str">
        <f>"9789568416935"</f>
        <v>9789568416935</v>
      </c>
    </row>
    <row r="4025" spans="1:4" x14ac:dyDescent="0.25">
      <c r="A4025" s="7" t="s">
        <v>686</v>
      </c>
      <c r="B4025" s="8" t="s">
        <v>687</v>
      </c>
      <c r="C4025" s="8" t="s">
        <v>316</v>
      </c>
      <c r="D4025" s="8" t="str">
        <f>"9783110326970"</f>
        <v>9783110326970</v>
      </c>
    </row>
    <row r="4026" spans="1:4" x14ac:dyDescent="0.25">
      <c r="A4026" s="7" t="s">
        <v>4298</v>
      </c>
      <c r="B4026" s="8" t="s">
        <v>4299</v>
      </c>
      <c r="C4026" s="8" t="s">
        <v>1865</v>
      </c>
      <c r="D4026" s="8" t="str">
        <f>"9789176851296"</f>
        <v>9789176851296</v>
      </c>
    </row>
    <row r="4027" spans="1:4" x14ac:dyDescent="0.25">
      <c r="A4027" s="7" t="s">
        <v>371</v>
      </c>
      <c r="B4027" s="8" t="s">
        <v>372</v>
      </c>
      <c r="C4027" s="8" t="s">
        <v>227</v>
      </c>
      <c r="D4027" s="8" t="str">
        <f>"9781847790880"</f>
        <v>9781847790880</v>
      </c>
    </row>
    <row r="4028" spans="1:4" x14ac:dyDescent="0.25">
      <c r="A4028" s="7" t="s">
        <v>2929</v>
      </c>
      <c r="B4028" s="8" t="s">
        <v>2930</v>
      </c>
      <c r="C4028" s="8" t="s">
        <v>1865</v>
      </c>
      <c r="D4028" s="8" t="str">
        <f>"9789176856642"</f>
        <v>9789176856642</v>
      </c>
    </row>
    <row r="4029" spans="1:4" x14ac:dyDescent="0.25">
      <c r="A4029" s="7" t="s">
        <v>4529</v>
      </c>
      <c r="B4029" s="8" t="s">
        <v>4530</v>
      </c>
      <c r="C4029" s="8" t="s">
        <v>1053</v>
      </c>
      <c r="D4029" s="8" t="str">
        <f>"9781607328360"</f>
        <v>9781607328360</v>
      </c>
    </row>
    <row r="4030" spans="1:4" ht="30" x14ac:dyDescent="0.25">
      <c r="A4030" s="7" t="s">
        <v>15143</v>
      </c>
      <c r="B4030" s="8" t="s">
        <v>15144</v>
      </c>
      <c r="C4030" s="8" t="s">
        <v>1865</v>
      </c>
      <c r="D4030" s="8" t="str">
        <f>"9789179295660"</f>
        <v>9789179295660</v>
      </c>
    </row>
    <row r="4031" spans="1:4" x14ac:dyDescent="0.25">
      <c r="A4031" s="7" t="s">
        <v>8331</v>
      </c>
      <c r="B4031" s="8" t="s">
        <v>8332</v>
      </c>
      <c r="C4031" s="8" t="s">
        <v>993</v>
      </c>
      <c r="D4031" s="8" t="str">
        <f>"9783839445143"</f>
        <v>9783839445143</v>
      </c>
    </row>
    <row r="4032" spans="1:4" ht="30" x14ac:dyDescent="0.25">
      <c r="A4032" s="7" t="s">
        <v>2555</v>
      </c>
      <c r="B4032" s="8" t="s">
        <v>2556</v>
      </c>
      <c r="C4032" s="8" t="s">
        <v>993</v>
      </c>
      <c r="D4032" s="8" t="str">
        <f>"9783839434192"</f>
        <v>9783839434192</v>
      </c>
    </row>
    <row r="4033" spans="1:4" x14ac:dyDescent="0.25">
      <c r="A4033" s="7" t="s">
        <v>4932</v>
      </c>
      <c r="B4033" s="8" t="s">
        <v>4933</v>
      </c>
      <c r="C4033" s="8" t="s">
        <v>993</v>
      </c>
      <c r="D4033" s="8" t="str">
        <f>"9783839450352"</f>
        <v>9783839450352</v>
      </c>
    </row>
    <row r="4034" spans="1:4" x14ac:dyDescent="0.25">
      <c r="A4034" s="7" t="s">
        <v>10404</v>
      </c>
      <c r="B4034" s="8" t="s">
        <v>10405</v>
      </c>
      <c r="C4034" s="8" t="s">
        <v>993</v>
      </c>
      <c r="D4034" s="8" t="str">
        <f>"9783839455227"</f>
        <v>9783839455227</v>
      </c>
    </row>
    <row r="4035" spans="1:4" x14ac:dyDescent="0.25">
      <c r="A4035" s="7" t="s">
        <v>5287</v>
      </c>
      <c r="B4035" s="8" t="s">
        <v>5288</v>
      </c>
      <c r="C4035" s="8" t="s">
        <v>2273</v>
      </c>
      <c r="D4035" s="8" t="str">
        <f>"9783319169255"</f>
        <v>9783319169255</v>
      </c>
    </row>
    <row r="4036" spans="1:4" ht="30" x14ac:dyDescent="0.25">
      <c r="A4036" s="7" t="s">
        <v>10199</v>
      </c>
      <c r="B4036" s="8" t="s">
        <v>10200</v>
      </c>
      <c r="C4036" s="8" t="s">
        <v>993</v>
      </c>
      <c r="D4036" s="8" t="str">
        <f>"9783839443859"</f>
        <v>9783839443859</v>
      </c>
    </row>
    <row r="4037" spans="1:4" x14ac:dyDescent="0.25">
      <c r="A4037" s="7" t="s">
        <v>7972</v>
      </c>
      <c r="B4037" s="8" t="s">
        <v>7973</v>
      </c>
      <c r="C4037" s="8" t="s">
        <v>1962</v>
      </c>
      <c r="D4037" s="8" t="str">
        <f>"9782759229079"</f>
        <v>9782759229079</v>
      </c>
    </row>
    <row r="4038" spans="1:4" ht="30" x14ac:dyDescent="0.25">
      <c r="A4038" s="7" t="s">
        <v>3464</v>
      </c>
      <c r="B4038" s="8" t="s">
        <v>3465</v>
      </c>
      <c r="C4038" s="8" t="s">
        <v>1345</v>
      </c>
      <c r="D4038" s="8" t="str">
        <f>"9783737604079"</f>
        <v>9783737604079</v>
      </c>
    </row>
    <row r="4039" spans="1:4" ht="30" x14ac:dyDescent="0.25">
      <c r="A4039" s="7" t="s">
        <v>14031</v>
      </c>
      <c r="B4039" s="8" t="s">
        <v>14032</v>
      </c>
      <c r="C4039" s="8" t="s">
        <v>13997</v>
      </c>
      <c r="D4039" s="8" t="str">
        <f>"9789566095330"</f>
        <v>9789566095330</v>
      </c>
    </row>
    <row r="4040" spans="1:4" ht="30" x14ac:dyDescent="0.25">
      <c r="A4040" s="7" t="s">
        <v>14798</v>
      </c>
      <c r="B4040" s="8" t="s">
        <v>7898</v>
      </c>
      <c r="C4040" s="8" t="s">
        <v>1865</v>
      </c>
      <c r="D4040" s="8" t="str">
        <f>"9789176853979"</f>
        <v>9789176853979</v>
      </c>
    </row>
    <row r="4041" spans="1:4" x14ac:dyDescent="0.25">
      <c r="A4041" s="7" t="s">
        <v>2892</v>
      </c>
      <c r="B4041" s="8" t="s">
        <v>2893</v>
      </c>
      <c r="C4041" s="8" t="s">
        <v>1865</v>
      </c>
      <c r="D4041" s="8" t="str">
        <f>"9789176856543"</f>
        <v>9789176856543</v>
      </c>
    </row>
    <row r="4042" spans="1:4" x14ac:dyDescent="0.25">
      <c r="A4042" s="7" t="s">
        <v>5378</v>
      </c>
      <c r="B4042" s="8" t="s">
        <v>5379</v>
      </c>
      <c r="C4042" s="8" t="s">
        <v>1879</v>
      </c>
      <c r="D4042" s="8" t="str">
        <f>"9781783749041"</f>
        <v>9781783749041</v>
      </c>
    </row>
    <row r="4043" spans="1:4" x14ac:dyDescent="0.25">
      <c r="A4043" s="7" t="s">
        <v>6918</v>
      </c>
      <c r="B4043" s="8" t="s">
        <v>6919</v>
      </c>
      <c r="C4043" s="8" t="s">
        <v>2273</v>
      </c>
      <c r="D4043" s="8" t="str">
        <f>"9783030708849"</f>
        <v>9783030708849</v>
      </c>
    </row>
    <row r="4044" spans="1:4" x14ac:dyDescent="0.25">
      <c r="A4044" s="7" t="s">
        <v>12668</v>
      </c>
      <c r="B4044" s="8" t="s">
        <v>12669</v>
      </c>
      <c r="C4044" s="8" t="s">
        <v>2273</v>
      </c>
      <c r="D4044" s="8" t="str">
        <f>"9783030860653"</f>
        <v>9783030860653</v>
      </c>
    </row>
    <row r="4045" spans="1:4" x14ac:dyDescent="0.25">
      <c r="A4045" s="7" t="s">
        <v>6653</v>
      </c>
      <c r="B4045" s="8" t="s">
        <v>6654</v>
      </c>
      <c r="C4045" s="8" t="s">
        <v>2273</v>
      </c>
      <c r="D4045" s="8" t="str">
        <f>"9783030686703"</f>
        <v>9783030686703</v>
      </c>
    </row>
    <row r="4046" spans="1:4" x14ac:dyDescent="0.25">
      <c r="A4046" s="7" t="s">
        <v>893</v>
      </c>
      <c r="B4046" s="8" t="s">
        <v>894</v>
      </c>
      <c r="C4046" s="8" t="s">
        <v>355</v>
      </c>
      <c r="D4046" s="8" t="str">
        <f>"9783110401721"</f>
        <v>9783110401721</v>
      </c>
    </row>
    <row r="4047" spans="1:4" x14ac:dyDescent="0.25">
      <c r="A4047" s="7" t="s">
        <v>13598</v>
      </c>
      <c r="B4047" s="8" t="s">
        <v>13599</v>
      </c>
      <c r="C4047" s="8" t="s">
        <v>2274</v>
      </c>
      <c r="D4047" s="8" t="str">
        <f>"9789811965890"</f>
        <v>9789811965890</v>
      </c>
    </row>
    <row r="4048" spans="1:4" x14ac:dyDescent="0.25">
      <c r="A4048" s="7" t="s">
        <v>11126</v>
      </c>
      <c r="B4048" s="8" t="s">
        <v>11127</v>
      </c>
      <c r="C4048" s="8" t="s">
        <v>6704</v>
      </c>
      <c r="D4048" s="8" t="str">
        <f>"9780472902187"</f>
        <v>9780472902187</v>
      </c>
    </row>
    <row r="4049" spans="1:4" x14ac:dyDescent="0.25">
      <c r="A4049" s="7" t="s">
        <v>933</v>
      </c>
      <c r="B4049" s="8" t="s">
        <v>934</v>
      </c>
      <c r="C4049" s="8" t="s">
        <v>355</v>
      </c>
      <c r="D4049" s="8" t="str">
        <f>"9783110410167"</f>
        <v>9783110410167</v>
      </c>
    </row>
    <row r="4050" spans="1:4" x14ac:dyDescent="0.25">
      <c r="A4050" s="7" t="s">
        <v>7399</v>
      </c>
      <c r="B4050" s="8" t="s">
        <v>7400</v>
      </c>
      <c r="C4050" s="8" t="s">
        <v>2273</v>
      </c>
      <c r="D4050" s="8" t="str">
        <f>"9783030591403"</f>
        <v>9783030591403</v>
      </c>
    </row>
    <row r="4051" spans="1:4" ht="30" x14ac:dyDescent="0.25">
      <c r="A4051" s="7" t="s">
        <v>6476</v>
      </c>
      <c r="B4051" s="8" t="s">
        <v>6477</v>
      </c>
      <c r="C4051" s="8" t="s">
        <v>2273</v>
      </c>
      <c r="D4051" s="8" t="str">
        <f>"9783030453671"</f>
        <v>9783030453671</v>
      </c>
    </row>
    <row r="4052" spans="1:4" x14ac:dyDescent="0.25">
      <c r="A4052" s="7" t="s">
        <v>10470</v>
      </c>
      <c r="B4052" s="8" t="s">
        <v>10471</v>
      </c>
      <c r="C4052" s="8" t="s">
        <v>993</v>
      </c>
      <c r="D4052" s="8" t="str">
        <f>"9783839457498"</f>
        <v>9783839457498</v>
      </c>
    </row>
    <row r="4053" spans="1:4" ht="30" x14ac:dyDescent="0.25">
      <c r="A4053" s="7" t="s">
        <v>2267</v>
      </c>
      <c r="B4053" s="8" t="s">
        <v>44</v>
      </c>
      <c r="C4053" s="8" t="s">
        <v>316</v>
      </c>
      <c r="D4053" s="8" t="str">
        <f>"9783110949995"</f>
        <v>9783110949995</v>
      </c>
    </row>
    <row r="4054" spans="1:4" ht="30" x14ac:dyDescent="0.25">
      <c r="A4054" s="7" t="s">
        <v>2986</v>
      </c>
      <c r="B4054" s="8" t="s">
        <v>2985</v>
      </c>
      <c r="C4054" s="8" t="s">
        <v>316</v>
      </c>
      <c r="D4054" s="8" t="str">
        <f>"9783110974331"</f>
        <v>9783110974331</v>
      </c>
    </row>
    <row r="4055" spans="1:4" x14ac:dyDescent="0.25">
      <c r="A4055" s="7" t="s">
        <v>4662</v>
      </c>
      <c r="B4055" s="8" t="s">
        <v>4663</v>
      </c>
      <c r="C4055" s="8" t="s">
        <v>329</v>
      </c>
      <c r="D4055" s="8" t="str">
        <f>"9789048550463"</f>
        <v>9789048550463</v>
      </c>
    </row>
    <row r="4056" spans="1:4" x14ac:dyDescent="0.25">
      <c r="A4056" s="7" t="s">
        <v>6967</v>
      </c>
      <c r="B4056" s="8" t="s">
        <v>6968</v>
      </c>
      <c r="C4056" s="8" t="s">
        <v>1879</v>
      </c>
      <c r="D4056" s="8" t="str">
        <f>"9781800641778"</f>
        <v>9781800641778</v>
      </c>
    </row>
    <row r="4057" spans="1:4" x14ac:dyDescent="0.25">
      <c r="A4057" s="7" t="s">
        <v>14899</v>
      </c>
      <c r="B4057" s="8" t="s">
        <v>14900</v>
      </c>
      <c r="C4057" s="8" t="s">
        <v>1865</v>
      </c>
      <c r="D4057" s="8" t="str">
        <f>"9789176854402"</f>
        <v>9789176854402</v>
      </c>
    </row>
    <row r="4058" spans="1:4" x14ac:dyDescent="0.25">
      <c r="A4058" s="7" t="s">
        <v>15195</v>
      </c>
      <c r="B4058" s="8" t="s">
        <v>14900</v>
      </c>
      <c r="C4058" s="8" t="s">
        <v>1865</v>
      </c>
      <c r="D4058" s="8" t="str">
        <f>"9789179295905"</f>
        <v>9789179295905</v>
      </c>
    </row>
    <row r="4059" spans="1:4" x14ac:dyDescent="0.25">
      <c r="A4059" s="7" t="s">
        <v>4247</v>
      </c>
      <c r="B4059" s="8" t="s">
        <v>4248</v>
      </c>
      <c r="C4059" s="8" t="s">
        <v>1865</v>
      </c>
      <c r="D4059" s="8" t="str">
        <f>"9789176851715"</f>
        <v>9789176851715</v>
      </c>
    </row>
    <row r="4060" spans="1:4" x14ac:dyDescent="0.25">
      <c r="A4060" s="7" t="s">
        <v>16263</v>
      </c>
      <c r="B4060" s="8" t="s">
        <v>16264</v>
      </c>
      <c r="C4060" s="8" t="s">
        <v>1865</v>
      </c>
      <c r="D4060" s="8" t="str">
        <f>"9789180750257"</f>
        <v>9789180750257</v>
      </c>
    </row>
    <row r="4061" spans="1:4" x14ac:dyDescent="0.25">
      <c r="A4061" s="7" t="s">
        <v>3181</v>
      </c>
      <c r="B4061" s="8"/>
      <c r="C4061" s="8"/>
      <c r="D4061" s="8"/>
    </row>
    <row r="4062" spans="1:4" x14ac:dyDescent="0.25">
      <c r="A4062" s="7" t="s">
        <v>4236</v>
      </c>
      <c r="B4062" s="8" t="s">
        <v>4237</v>
      </c>
      <c r="C4062" s="8" t="s">
        <v>1865</v>
      </c>
      <c r="D4062" s="8" t="str">
        <f>"9789176851999"</f>
        <v>9789176851999</v>
      </c>
    </row>
    <row r="4063" spans="1:4" x14ac:dyDescent="0.25">
      <c r="A4063" s="7" t="s">
        <v>5344</v>
      </c>
      <c r="B4063" s="8" t="s">
        <v>5345</v>
      </c>
      <c r="C4063" s="8" t="s">
        <v>2273</v>
      </c>
      <c r="D4063" s="8" t="str">
        <f>"9783319567143"</f>
        <v>9783319567143</v>
      </c>
    </row>
    <row r="4064" spans="1:4" x14ac:dyDescent="0.25">
      <c r="A4064" s="7" t="s">
        <v>6835</v>
      </c>
      <c r="B4064" s="8" t="s">
        <v>6836</v>
      </c>
      <c r="C4064" s="8" t="s">
        <v>1865</v>
      </c>
      <c r="D4064" s="8" t="str">
        <f>"9789179296285"</f>
        <v>9789179296285</v>
      </c>
    </row>
    <row r="4065" spans="1:4" x14ac:dyDescent="0.25">
      <c r="A4065" s="7" t="s">
        <v>16104</v>
      </c>
      <c r="B4065" s="8" t="s">
        <v>15822</v>
      </c>
      <c r="C4065" s="8" t="s">
        <v>1865</v>
      </c>
      <c r="D4065" s="8" t="str">
        <f>"9789175191690"</f>
        <v>9789175191690</v>
      </c>
    </row>
    <row r="4066" spans="1:4" ht="30" x14ac:dyDescent="0.25">
      <c r="A4066" s="7" t="s">
        <v>4167</v>
      </c>
      <c r="B4066" s="8" t="s">
        <v>4168</v>
      </c>
      <c r="C4066" s="8" t="s">
        <v>1865</v>
      </c>
      <c r="D4066" s="8" t="str">
        <f>"9789176851906"</f>
        <v>9789176851906</v>
      </c>
    </row>
    <row r="4067" spans="1:4" x14ac:dyDescent="0.25">
      <c r="A4067" s="7" t="s">
        <v>4684</v>
      </c>
      <c r="B4067" s="8"/>
      <c r="C4067" s="8"/>
      <c r="D4067" s="8"/>
    </row>
    <row r="4068" spans="1:4" x14ac:dyDescent="0.25">
      <c r="A4068" s="7" t="s">
        <v>1746</v>
      </c>
      <c r="B4068" s="8" t="s">
        <v>1747</v>
      </c>
      <c r="C4068" s="8" t="s">
        <v>1345</v>
      </c>
      <c r="D4068" s="8" t="str">
        <f>"9783862197897"</f>
        <v>9783862197897</v>
      </c>
    </row>
    <row r="4069" spans="1:4" ht="30" x14ac:dyDescent="0.25">
      <c r="A4069" s="7" t="s">
        <v>6107</v>
      </c>
      <c r="B4069" s="8" t="s">
        <v>6108</v>
      </c>
      <c r="C4069" s="8" t="s">
        <v>2273</v>
      </c>
      <c r="D4069" s="8" t="str">
        <f>"9783319140902"</f>
        <v>9783319140902</v>
      </c>
    </row>
    <row r="4070" spans="1:4" x14ac:dyDescent="0.25">
      <c r="A4070" s="7" t="s">
        <v>12805</v>
      </c>
      <c r="B4070" s="8" t="s">
        <v>12713</v>
      </c>
      <c r="C4070" s="8" t="s">
        <v>12712</v>
      </c>
      <c r="D4070" s="8" t="str">
        <f>"9783428425525"</f>
        <v>9783428425525</v>
      </c>
    </row>
    <row r="4071" spans="1:4" x14ac:dyDescent="0.25">
      <c r="A4071" s="7" t="s">
        <v>4189</v>
      </c>
      <c r="B4071" s="8" t="s">
        <v>4190</v>
      </c>
      <c r="C4071" s="8" t="s">
        <v>2273</v>
      </c>
      <c r="D4071" s="8" t="str">
        <f>"9783319721705"</f>
        <v>9783319721705</v>
      </c>
    </row>
    <row r="4072" spans="1:4" x14ac:dyDescent="0.25">
      <c r="A4072" s="7" t="s">
        <v>9200</v>
      </c>
      <c r="B4072" s="8" t="s">
        <v>9201</v>
      </c>
      <c r="C4072" s="8" t="s">
        <v>4882</v>
      </c>
      <c r="D4072" s="8" t="str">
        <f>"9781781385982"</f>
        <v>9781781385982</v>
      </c>
    </row>
    <row r="4073" spans="1:4" x14ac:dyDescent="0.25">
      <c r="A4073" s="7" t="s">
        <v>326</v>
      </c>
      <c r="B4073" s="8" t="s">
        <v>327</v>
      </c>
      <c r="C4073" s="8" t="s">
        <v>316</v>
      </c>
      <c r="D4073" s="8" t="str">
        <f>"9783110210682"</f>
        <v>9783110210682</v>
      </c>
    </row>
    <row r="4074" spans="1:4" x14ac:dyDescent="0.25">
      <c r="A4074" s="7" t="s">
        <v>3085</v>
      </c>
      <c r="B4074" s="8" t="s">
        <v>3086</v>
      </c>
      <c r="C4074" s="8" t="s">
        <v>1865</v>
      </c>
      <c r="D4074" s="8" t="str">
        <f>"9789176855485"</f>
        <v>9789176855485</v>
      </c>
    </row>
    <row r="4075" spans="1:4" x14ac:dyDescent="0.25">
      <c r="A4075" s="7" t="s">
        <v>15667</v>
      </c>
      <c r="B4075" s="8" t="s">
        <v>15668</v>
      </c>
      <c r="C4075" s="8" t="s">
        <v>1865</v>
      </c>
      <c r="D4075" s="8" t="str">
        <f>"9789175198576"</f>
        <v>9789175198576</v>
      </c>
    </row>
    <row r="4076" spans="1:4" ht="30" x14ac:dyDescent="0.25">
      <c r="A4076" s="7" t="s">
        <v>12132</v>
      </c>
      <c r="B4076" s="8" t="s">
        <v>12133</v>
      </c>
      <c r="C4076" s="8" t="s">
        <v>355</v>
      </c>
      <c r="D4076" s="8" t="str">
        <f>"9783110714739"</f>
        <v>9783110714739</v>
      </c>
    </row>
    <row r="4077" spans="1:4" x14ac:dyDescent="0.25">
      <c r="A4077" s="7" t="s">
        <v>8775</v>
      </c>
      <c r="B4077" s="8" t="s">
        <v>8776</v>
      </c>
      <c r="C4077" s="8" t="s">
        <v>2082</v>
      </c>
      <c r="D4077" s="8" t="str">
        <f>"9780472902392"</f>
        <v>9780472902392</v>
      </c>
    </row>
    <row r="4078" spans="1:4" x14ac:dyDescent="0.25">
      <c r="A4078" s="7" t="s">
        <v>948</v>
      </c>
      <c r="B4078" s="8" t="s">
        <v>949</v>
      </c>
      <c r="C4078" s="8" t="s">
        <v>329</v>
      </c>
      <c r="D4078" s="8" t="str">
        <f>"9789048523085"</f>
        <v>9789048523085</v>
      </c>
    </row>
    <row r="4079" spans="1:4" ht="30" x14ac:dyDescent="0.25">
      <c r="A4079" s="7" t="s">
        <v>2440</v>
      </c>
      <c r="B4079" s="8" t="s">
        <v>2441</v>
      </c>
      <c r="C4079" s="8" t="s">
        <v>1865</v>
      </c>
      <c r="D4079" s="8" t="str">
        <f>"9789176859834"</f>
        <v>9789176859834</v>
      </c>
    </row>
    <row r="4080" spans="1:4" x14ac:dyDescent="0.25">
      <c r="A4080" s="7" t="s">
        <v>1928</v>
      </c>
      <c r="B4080" s="8" t="s">
        <v>1929</v>
      </c>
      <c r="C4080" s="8" t="s">
        <v>1879</v>
      </c>
      <c r="D4080" s="8" t="str">
        <f>"9781906924942"</f>
        <v>9781906924942</v>
      </c>
    </row>
    <row r="4081" spans="1:4" x14ac:dyDescent="0.25">
      <c r="A4081" s="7" t="s">
        <v>11334</v>
      </c>
      <c r="B4081" s="8" t="s">
        <v>3851</v>
      </c>
      <c r="C4081" s="8" t="s">
        <v>355</v>
      </c>
      <c r="D4081" s="8" t="str">
        <f>"9783110576191"</f>
        <v>9783110576191</v>
      </c>
    </row>
    <row r="4082" spans="1:4" ht="30" x14ac:dyDescent="0.25">
      <c r="A4082" s="7" t="s">
        <v>9796</v>
      </c>
      <c r="B4082" s="8" t="s">
        <v>9797</v>
      </c>
      <c r="C4082" s="8" t="s">
        <v>993</v>
      </c>
      <c r="D4082" s="8" t="str">
        <f>"9783839404911"</f>
        <v>9783839404911</v>
      </c>
    </row>
    <row r="4083" spans="1:4" x14ac:dyDescent="0.25">
      <c r="A4083" s="7" t="s">
        <v>8216</v>
      </c>
      <c r="B4083" s="8" t="s">
        <v>8217</v>
      </c>
      <c r="C4083" s="8" t="s">
        <v>993</v>
      </c>
      <c r="D4083" s="8" t="str">
        <f>"9783839453186"</f>
        <v>9783839453186</v>
      </c>
    </row>
    <row r="4084" spans="1:4" x14ac:dyDescent="0.25">
      <c r="A4084" s="7" t="s">
        <v>14334</v>
      </c>
      <c r="B4084" s="8" t="s">
        <v>14335</v>
      </c>
      <c r="C4084" s="8" t="s">
        <v>309</v>
      </c>
      <c r="D4084" s="8" t="str">
        <f>"9781439921517"</f>
        <v>9781439921517</v>
      </c>
    </row>
    <row r="4085" spans="1:4" ht="30" x14ac:dyDescent="0.25">
      <c r="A4085" s="7" t="s">
        <v>9663</v>
      </c>
      <c r="B4085" s="8" t="s">
        <v>9664</v>
      </c>
      <c r="C4085" s="8" t="s">
        <v>993</v>
      </c>
      <c r="D4085" s="8" t="str">
        <f>"9783839400470"</f>
        <v>9783839400470</v>
      </c>
    </row>
    <row r="4086" spans="1:4" ht="30" x14ac:dyDescent="0.25">
      <c r="A4086" s="7" t="s">
        <v>13422</v>
      </c>
      <c r="B4086" s="8" t="s">
        <v>13423</v>
      </c>
      <c r="C4086" s="8" t="s">
        <v>5086</v>
      </c>
      <c r="D4086" s="8" t="str">
        <f>"9783658392857"</f>
        <v>9783658392857</v>
      </c>
    </row>
    <row r="4087" spans="1:4" x14ac:dyDescent="0.25">
      <c r="A4087" s="7" t="s">
        <v>10053</v>
      </c>
      <c r="B4087" s="8" t="s">
        <v>10054</v>
      </c>
      <c r="C4087" s="8" t="s">
        <v>993</v>
      </c>
      <c r="D4087" s="8" t="str">
        <f>"9783839412220"</f>
        <v>9783839412220</v>
      </c>
    </row>
    <row r="4088" spans="1:4" x14ac:dyDescent="0.25">
      <c r="A4088" s="7" t="s">
        <v>1027</v>
      </c>
      <c r="B4088" s="8" t="s">
        <v>1028</v>
      </c>
      <c r="C4088" s="8" t="s">
        <v>329</v>
      </c>
      <c r="D4088" s="8" t="str">
        <f>"9789048524457"</f>
        <v>9789048524457</v>
      </c>
    </row>
    <row r="4089" spans="1:4" x14ac:dyDescent="0.25">
      <c r="A4089" s="7" t="s">
        <v>11638</v>
      </c>
      <c r="B4089" s="8" t="s">
        <v>11639</v>
      </c>
      <c r="C4089" s="8" t="s">
        <v>355</v>
      </c>
      <c r="D4089" s="8" t="str">
        <f>"9783110561371"</f>
        <v>9783110561371</v>
      </c>
    </row>
    <row r="4090" spans="1:4" x14ac:dyDescent="0.25">
      <c r="A4090" s="7" t="s">
        <v>1321</v>
      </c>
      <c r="B4090" s="8" t="s">
        <v>1322</v>
      </c>
      <c r="C4090" s="8" t="s">
        <v>1224</v>
      </c>
      <c r="D4090" s="8" t="str">
        <f>"9781618112095"</f>
        <v>9781618112095</v>
      </c>
    </row>
    <row r="4091" spans="1:4" ht="45" x14ac:dyDescent="0.25">
      <c r="A4091" s="7" t="s">
        <v>13416</v>
      </c>
      <c r="B4091" s="8" t="s">
        <v>13417</v>
      </c>
      <c r="C4091" s="8" t="s">
        <v>2273</v>
      </c>
      <c r="D4091" s="8" t="str">
        <f>"9783030986780"</f>
        <v>9783030986780</v>
      </c>
    </row>
    <row r="4092" spans="1:4" x14ac:dyDescent="0.25">
      <c r="A4092" s="7" t="s">
        <v>5613</v>
      </c>
      <c r="B4092" s="8" t="s">
        <v>5614</v>
      </c>
      <c r="C4092" s="8" t="s">
        <v>5134</v>
      </c>
      <c r="D4092" s="8" t="str">
        <f>"9783662621790"</f>
        <v>9783662621790</v>
      </c>
    </row>
    <row r="4093" spans="1:4" x14ac:dyDescent="0.25">
      <c r="A4093" s="7" t="s">
        <v>6530</v>
      </c>
      <c r="B4093" s="8" t="s">
        <v>6531</v>
      </c>
      <c r="C4093" s="8" t="s">
        <v>1865</v>
      </c>
      <c r="D4093" s="8" t="str">
        <f>"9789179297107"</f>
        <v>9789179297107</v>
      </c>
    </row>
    <row r="4094" spans="1:4" x14ac:dyDescent="0.25">
      <c r="A4094" s="7" t="s">
        <v>6115</v>
      </c>
      <c r="B4094" s="8" t="s">
        <v>6116</v>
      </c>
      <c r="C4094" s="8" t="s">
        <v>2273</v>
      </c>
      <c r="D4094" s="8" t="str">
        <f>"9783319310633"</f>
        <v>9783319310633</v>
      </c>
    </row>
    <row r="4095" spans="1:4" x14ac:dyDescent="0.25">
      <c r="A4095" s="7" t="s">
        <v>1236</v>
      </c>
      <c r="B4095" s="8" t="s">
        <v>1237</v>
      </c>
      <c r="C4095" s="8" t="s">
        <v>1224</v>
      </c>
      <c r="D4095" s="8" t="str">
        <f>"9781618117014"</f>
        <v>9781618117014</v>
      </c>
    </row>
    <row r="4096" spans="1:4" x14ac:dyDescent="0.25">
      <c r="A4096" s="7" t="s">
        <v>9269</v>
      </c>
      <c r="B4096" s="8" t="s">
        <v>9270</v>
      </c>
      <c r="C4096" s="8" t="s">
        <v>9256</v>
      </c>
      <c r="D4096" s="8" t="str">
        <f>"9788021084698"</f>
        <v>9788021084698</v>
      </c>
    </row>
    <row r="4097" spans="1:4" ht="30" x14ac:dyDescent="0.25">
      <c r="A4097" s="7" t="s">
        <v>3706</v>
      </c>
      <c r="B4097" s="8" t="s">
        <v>3707</v>
      </c>
      <c r="C4097" s="8" t="s">
        <v>1345</v>
      </c>
      <c r="D4097" s="8" t="str">
        <f>"9783737604833"</f>
        <v>9783737604833</v>
      </c>
    </row>
    <row r="4098" spans="1:4" x14ac:dyDescent="0.25">
      <c r="A4098" s="7" t="s">
        <v>10805</v>
      </c>
      <c r="B4098" s="8" t="s">
        <v>10806</v>
      </c>
      <c r="C4098" s="8" t="s">
        <v>1876</v>
      </c>
      <c r="D4098" s="8" t="str">
        <f>"9781925495942"</f>
        <v>9781925495942</v>
      </c>
    </row>
    <row r="4099" spans="1:4" x14ac:dyDescent="0.25">
      <c r="A4099" s="7" t="s">
        <v>1277</v>
      </c>
      <c r="B4099" s="8" t="s">
        <v>1278</v>
      </c>
      <c r="C4099" s="8" t="s">
        <v>1224</v>
      </c>
      <c r="D4099" s="8" t="str">
        <f>"9781618116918"</f>
        <v>9781618116918</v>
      </c>
    </row>
    <row r="4100" spans="1:4" x14ac:dyDescent="0.25">
      <c r="A4100" s="7" t="s">
        <v>582</v>
      </c>
      <c r="B4100" s="8" t="s">
        <v>583</v>
      </c>
      <c r="C4100" s="8" t="s">
        <v>562</v>
      </c>
      <c r="D4100" s="8" t="str">
        <f>"9780822390930"</f>
        <v>9780822390930</v>
      </c>
    </row>
    <row r="4101" spans="1:4" ht="30" x14ac:dyDescent="0.25">
      <c r="A4101" s="7" t="s">
        <v>14955</v>
      </c>
      <c r="B4101" s="8" t="s">
        <v>14956</v>
      </c>
      <c r="C4101" s="8" t="s">
        <v>1865</v>
      </c>
      <c r="D4101" s="8" t="str">
        <f>"9789175195605"</f>
        <v>9789175195605</v>
      </c>
    </row>
    <row r="4102" spans="1:4" x14ac:dyDescent="0.25">
      <c r="A4102" s="7" t="s">
        <v>14416</v>
      </c>
      <c r="B4102" s="8" t="s">
        <v>14417</v>
      </c>
      <c r="C4102" s="8" t="s">
        <v>1865</v>
      </c>
      <c r="D4102" s="8" t="str">
        <f>"9789179295370"</f>
        <v>9789179295370</v>
      </c>
    </row>
    <row r="4103" spans="1:4" x14ac:dyDescent="0.25">
      <c r="A4103" s="7" t="s">
        <v>11375</v>
      </c>
      <c r="B4103" s="8" t="s">
        <v>11376</v>
      </c>
      <c r="C4103" s="8" t="s">
        <v>355</v>
      </c>
      <c r="D4103" s="8" t="str">
        <f>"9783110718836"</f>
        <v>9783110718836</v>
      </c>
    </row>
    <row r="4104" spans="1:4" x14ac:dyDescent="0.25">
      <c r="A4104" s="7" t="s">
        <v>10109</v>
      </c>
      <c r="B4104" s="8" t="s">
        <v>8137</v>
      </c>
      <c r="C4104" s="8" t="s">
        <v>993</v>
      </c>
      <c r="D4104" s="8" t="str">
        <f>"9783839435120"</f>
        <v>9783839435120</v>
      </c>
    </row>
    <row r="4105" spans="1:4" ht="30" x14ac:dyDescent="0.25">
      <c r="A4105" s="7" t="s">
        <v>10179</v>
      </c>
      <c r="B4105" s="8" t="s">
        <v>114</v>
      </c>
      <c r="C4105" s="8" t="s">
        <v>993</v>
      </c>
      <c r="D4105" s="8" t="str">
        <f>"9783839442524"</f>
        <v>9783839442524</v>
      </c>
    </row>
    <row r="4106" spans="1:4" ht="30" x14ac:dyDescent="0.25">
      <c r="A4106" s="7" t="s">
        <v>8136</v>
      </c>
      <c r="B4106" s="8" t="s">
        <v>8137</v>
      </c>
      <c r="C4106" s="8" t="s">
        <v>7173</v>
      </c>
      <c r="D4106" s="8" t="str">
        <f>"9783839444917"</f>
        <v>9783839444917</v>
      </c>
    </row>
    <row r="4107" spans="1:4" ht="30" x14ac:dyDescent="0.25">
      <c r="A4107" s="7" t="s">
        <v>8145</v>
      </c>
      <c r="B4107" s="8" t="s">
        <v>121</v>
      </c>
      <c r="C4107" s="8" t="s">
        <v>993</v>
      </c>
      <c r="D4107" s="8" t="str">
        <f>"9783839455913"</f>
        <v>9783839455913</v>
      </c>
    </row>
    <row r="4108" spans="1:4" x14ac:dyDescent="0.25">
      <c r="A4108" s="7" t="s">
        <v>9435</v>
      </c>
      <c r="B4108" s="8" t="s">
        <v>9436</v>
      </c>
      <c r="C4108" s="8" t="s">
        <v>9256</v>
      </c>
      <c r="D4108" s="8" t="str">
        <f>"9788021099050"</f>
        <v>9788021099050</v>
      </c>
    </row>
    <row r="4109" spans="1:4" x14ac:dyDescent="0.25">
      <c r="A4109" s="7" t="s">
        <v>7146</v>
      </c>
      <c r="B4109" s="8" t="s">
        <v>7147</v>
      </c>
      <c r="C4109" s="8" t="s">
        <v>355</v>
      </c>
      <c r="D4109" s="8" t="str">
        <f>"9783110675382"</f>
        <v>9783110675382</v>
      </c>
    </row>
    <row r="4110" spans="1:4" x14ac:dyDescent="0.25">
      <c r="A4110" s="7" t="s">
        <v>9210</v>
      </c>
      <c r="B4110" s="8" t="s">
        <v>9211</v>
      </c>
      <c r="C4110" s="8" t="s">
        <v>4882</v>
      </c>
      <c r="D4110" s="8" t="str">
        <f>"9781800855472"</f>
        <v>9781800855472</v>
      </c>
    </row>
    <row r="4111" spans="1:4" x14ac:dyDescent="0.25">
      <c r="A4111" s="7" t="s">
        <v>6487</v>
      </c>
      <c r="B4111" s="8" t="s">
        <v>6488</v>
      </c>
      <c r="C4111" s="8" t="s">
        <v>1879</v>
      </c>
      <c r="D4111" s="8" t="str">
        <f>"9781783749775"</f>
        <v>9781783749775</v>
      </c>
    </row>
    <row r="4112" spans="1:4" x14ac:dyDescent="0.25">
      <c r="A4112" s="7" t="s">
        <v>11112</v>
      </c>
      <c r="B4112" s="8" t="s">
        <v>11113</v>
      </c>
      <c r="C4112" s="8" t="s">
        <v>6716</v>
      </c>
      <c r="D4112" s="8" t="str">
        <f>"9780472901920"</f>
        <v>9780472901920</v>
      </c>
    </row>
    <row r="4113" spans="1:4" x14ac:dyDescent="0.25">
      <c r="A4113" s="7" t="s">
        <v>8758</v>
      </c>
      <c r="B4113" s="8" t="s">
        <v>8759</v>
      </c>
      <c r="C4113" s="8" t="s">
        <v>4245</v>
      </c>
      <c r="D4113" s="8" t="str">
        <f>"9789811663161"</f>
        <v>9789811663161</v>
      </c>
    </row>
    <row r="4114" spans="1:4" x14ac:dyDescent="0.25">
      <c r="A4114" s="7" t="s">
        <v>3122</v>
      </c>
      <c r="B4114" s="8" t="s">
        <v>3123</v>
      </c>
      <c r="C4114" s="8" t="s">
        <v>329</v>
      </c>
      <c r="D4114" s="8" t="str">
        <f>"9789048532636"</f>
        <v>9789048532636</v>
      </c>
    </row>
    <row r="4115" spans="1:4" ht="45" x14ac:dyDescent="0.25">
      <c r="A4115" s="7" t="s">
        <v>10063</v>
      </c>
      <c r="B4115" s="8" t="s">
        <v>3313</v>
      </c>
      <c r="C4115" s="8" t="s">
        <v>993</v>
      </c>
      <c r="D4115" s="8" t="str">
        <f>"9783839418932"</f>
        <v>9783839418932</v>
      </c>
    </row>
    <row r="4116" spans="1:4" ht="30" x14ac:dyDescent="0.25">
      <c r="A4116" s="7" t="s">
        <v>11864</v>
      </c>
      <c r="B4116" s="8" t="s">
        <v>11865</v>
      </c>
      <c r="C4116" s="8" t="s">
        <v>355</v>
      </c>
      <c r="D4116" s="8" t="str">
        <f>"9783110720068"</f>
        <v>9783110720068</v>
      </c>
    </row>
    <row r="4117" spans="1:4" x14ac:dyDescent="0.25">
      <c r="A4117" s="7" t="s">
        <v>8994</v>
      </c>
      <c r="B4117" s="8" t="s">
        <v>8995</v>
      </c>
      <c r="C4117" s="8" t="s">
        <v>2273</v>
      </c>
      <c r="D4117" s="8" t="str">
        <f>"9783030885090"</f>
        <v>9783030885090</v>
      </c>
    </row>
    <row r="4118" spans="1:4" x14ac:dyDescent="0.25">
      <c r="A4118" s="7" t="s">
        <v>11759</v>
      </c>
      <c r="B4118" s="8" t="s">
        <v>11760</v>
      </c>
      <c r="C4118" s="8" t="s">
        <v>355</v>
      </c>
      <c r="D4118" s="8" t="str">
        <f>"9783486750836"</f>
        <v>9783486750836</v>
      </c>
    </row>
    <row r="4119" spans="1:4" x14ac:dyDescent="0.25">
      <c r="A4119" s="7" t="s">
        <v>10744</v>
      </c>
      <c r="B4119" s="8" t="s">
        <v>10745</v>
      </c>
      <c r="C4119" s="8" t="s">
        <v>1876</v>
      </c>
      <c r="D4119" s="8" t="str">
        <f>"9780980510850"</f>
        <v>9780980510850</v>
      </c>
    </row>
    <row r="4120" spans="1:4" ht="30" x14ac:dyDescent="0.25">
      <c r="A4120" s="7" t="s">
        <v>343</v>
      </c>
      <c r="B4120" s="8" t="s">
        <v>344</v>
      </c>
      <c r="C4120" s="8" t="s">
        <v>316</v>
      </c>
      <c r="D4120" s="8" t="str">
        <f>"9783110216585"</f>
        <v>9783110216585</v>
      </c>
    </row>
    <row r="4121" spans="1:4" ht="30" x14ac:dyDescent="0.25">
      <c r="A4121" s="7" t="s">
        <v>9708</v>
      </c>
      <c r="B4121" s="8" t="s">
        <v>9709</v>
      </c>
      <c r="C4121" s="8" t="s">
        <v>993</v>
      </c>
      <c r="D4121" s="8" t="str">
        <f>"9783839402290"</f>
        <v>9783839402290</v>
      </c>
    </row>
    <row r="4122" spans="1:4" ht="30" x14ac:dyDescent="0.25">
      <c r="A4122" s="7" t="s">
        <v>543</v>
      </c>
      <c r="B4122" s="8" t="s">
        <v>544</v>
      </c>
      <c r="C4122" s="8" t="s">
        <v>355</v>
      </c>
      <c r="D4122" s="8" t="str">
        <f>"9788376560083"</f>
        <v>9788376560083</v>
      </c>
    </row>
    <row r="4123" spans="1:4" x14ac:dyDescent="0.25">
      <c r="A4123" s="7" t="s">
        <v>10216</v>
      </c>
      <c r="B4123" s="8" t="s">
        <v>10217</v>
      </c>
      <c r="C4123" s="8" t="s">
        <v>993</v>
      </c>
      <c r="D4123" s="8" t="str">
        <f>"9783839445044"</f>
        <v>9783839445044</v>
      </c>
    </row>
    <row r="4124" spans="1:4" x14ac:dyDescent="0.25">
      <c r="A4124" s="7" t="s">
        <v>10683</v>
      </c>
      <c r="B4124" s="8" t="s">
        <v>10684</v>
      </c>
      <c r="C4124" s="8" t="s">
        <v>2273</v>
      </c>
      <c r="D4124" s="8" t="str">
        <f>"9783030965884"</f>
        <v>9783030965884</v>
      </c>
    </row>
    <row r="4125" spans="1:4" x14ac:dyDescent="0.25">
      <c r="A4125" s="7" t="s">
        <v>11534</v>
      </c>
      <c r="B4125" s="8" t="s">
        <v>7157</v>
      </c>
      <c r="C4125" s="8" t="s">
        <v>355</v>
      </c>
      <c r="D4125" s="8" t="str">
        <f>"9783110586459"</f>
        <v>9783110586459</v>
      </c>
    </row>
    <row r="4126" spans="1:4" ht="30" x14ac:dyDescent="0.25">
      <c r="A4126" s="7" t="s">
        <v>12521</v>
      </c>
      <c r="B4126" s="8" t="s">
        <v>12522</v>
      </c>
      <c r="C4126" s="8" t="s">
        <v>355</v>
      </c>
      <c r="D4126" s="8" t="str">
        <f>"9783110750812"</f>
        <v>9783110750812</v>
      </c>
    </row>
    <row r="4127" spans="1:4" x14ac:dyDescent="0.25">
      <c r="A4127" s="7" t="s">
        <v>3877</v>
      </c>
      <c r="B4127" s="8" t="s">
        <v>3878</v>
      </c>
      <c r="C4127" s="8" t="s">
        <v>355</v>
      </c>
      <c r="D4127" s="8" t="str">
        <f>"9783110546422"</f>
        <v>9783110546422</v>
      </c>
    </row>
    <row r="4128" spans="1:4" x14ac:dyDescent="0.25">
      <c r="A4128" s="7" t="s">
        <v>1223</v>
      </c>
      <c r="B4128" s="8" t="s">
        <v>1225</v>
      </c>
      <c r="C4128" s="8" t="s">
        <v>1224</v>
      </c>
      <c r="D4128" s="8" t="str">
        <f>"9781618110954"</f>
        <v>9781618110954</v>
      </c>
    </row>
    <row r="4129" spans="1:4" ht="30" x14ac:dyDescent="0.25">
      <c r="A4129" s="7" t="s">
        <v>5074</v>
      </c>
      <c r="B4129" s="8" t="s">
        <v>5075</v>
      </c>
      <c r="C4129" s="8" t="s">
        <v>1879</v>
      </c>
      <c r="D4129" s="8" t="str">
        <f>"9781783749690"</f>
        <v>9781783749690</v>
      </c>
    </row>
    <row r="4130" spans="1:4" x14ac:dyDescent="0.25">
      <c r="A4130" s="7" t="s">
        <v>7121</v>
      </c>
      <c r="B4130" s="8" t="s">
        <v>7122</v>
      </c>
      <c r="C4130" s="8" t="s">
        <v>355</v>
      </c>
      <c r="D4130" s="8" t="str">
        <f>"9783110664713"</f>
        <v>9783110664713</v>
      </c>
    </row>
    <row r="4131" spans="1:4" x14ac:dyDescent="0.25">
      <c r="A4131" s="7" t="s">
        <v>9113</v>
      </c>
      <c r="B4131" s="8" t="s">
        <v>9114</v>
      </c>
      <c r="C4131" s="8" t="s">
        <v>562</v>
      </c>
      <c r="D4131" s="8" t="str">
        <f>"9781478092605"</f>
        <v>9781478092605</v>
      </c>
    </row>
    <row r="4132" spans="1:4" ht="30" x14ac:dyDescent="0.25">
      <c r="A4132" s="7" t="s">
        <v>14076</v>
      </c>
      <c r="B4132" s="8" t="s">
        <v>14077</v>
      </c>
      <c r="C4132" s="8" t="s">
        <v>2273</v>
      </c>
      <c r="D4132" s="8" t="str">
        <f>"9783031079160"</f>
        <v>9783031079160</v>
      </c>
    </row>
    <row r="4133" spans="1:4" x14ac:dyDescent="0.25">
      <c r="A4133" s="7" t="s">
        <v>7010</v>
      </c>
      <c r="B4133" s="8" t="s">
        <v>7012</v>
      </c>
      <c r="C4133" s="8" t="s">
        <v>7011</v>
      </c>
      <c r="D4133" s="8" t="str">
        <f>"9783422981454"</f>
        <v>9783422981454</v>
      </c>
    </row>
    <row r="4134" spans="1:4" x14ac:dyDescent="0.25">
      <c r="A4134" s="7" t="s">
        <v>14051</v>
      </c>
      <c r="B4134" s="8" t="s">
        <v>14052</v>
      </c>
      <c r="C4134" s="8" t="s">
        <v>13997</v>
      </c>
      <c r="D4134" s="8" t="str">
        <f>"9789568416652"</f>
        <v>9789568416652</v>
      </c>
    </row>
    <row r="4135" spans="1:4" ht="30" x14ac:dyDescent="0.25">
      <c r="A4135" s="7" t="s">
        <v>11002</v>
      </c>
      <c r="B4135" s="8" t="s">
        <v>11003</v>
      </c>
      <c r="C4135" s="8" t="s">
        <v>2274</v>
      </c>
      <c r="D4135" s="8" t="str">
        <f>"9789811909917"</f>
        <v>9789811909917</v>
      </c>
    </row>
    <row r="4136" spans="1:4" x14ac:dyDescent="0.25">
      <c r="A4136" s="7" t="s">
        <v>7257</v>
      </c>
      <c r="B4136" s="8" t="s">
        <v>7258</v>
      </c>
      <c r="C4136" s="8" t="s">
        <v>355</v>
      </c>
      <c r="D4136" s="8" t="str">
        <f>"9783110664744"</f>
        <v>9783110664744</v>
      </c>
    </row>
    <row r="4137" spans="1:4" ht="30" x14ac:dyDescent="0.25">
      <c r="A4137" s="7" t="s">
        <v>2596</v>
      </c>
      <c r="B4137" s="8" t="s">
        <v>2597</v>
      </c>
      <c r="C4137" s="8" t="s">
        <v>1224</v>
      </c>
      <c r="D4137" s="8" t="str">
        <f>"9781618112019"</f>
        <v>9781618112019</v>
      </c>
    </row>
    <row r="4138" spans="1:4" ht="30" x14ac:dyDescent="0.25">
      <c r="A4138" s="7" t="s">
        <v>12596</v>
      </c>
      <c r="B4138" s="8" t="s">
        <v>12597</v>
      </c>
      <c r="C4138" s="8" t="s">
        <v>355</v>
      </c>
      <c r="D4138" s="8" t="str">
        <f>"9783110772388"</f>
        <v>9783110772388</v>
      </c>
    </row>
    <row r="4139" spans="1:4" x14ac:dyDescent="0.25">
      <c r="A4139" s="7" t="s">
        <v>300</v>
      </c>
      <c r="B4139" s="8" t="s">
        <v>301</v>
      </c>
      <c r="C4139" s="8" t="s">
        <v>227</v>
      </c>
      <c r="D4139" s="8" t="str">
        <f>"9781847790224"</f>
        <v>9781847790224</v>
      </c>
    </row>
    <row r="4140" spans="1:4" x14ac:dyDescent="0.25">
      <c r="A4140" s="7" t="s">
        <v>8197</v>
      </c>
      <c r="B4140" s="8" t="s">
        <v>8125</v>
      </c>
      <c r="C4140" s="8" t="s">
        <v>993</v>
      </c>
      <c r="D4140" s="8" t="str">
        <f>"9783839447420"</f>
        <v>9783839447420</v>
      </c>
    </row>
    <row r="4141" spans="1:4" x14ac:dyDescent="0.25">
      <c r="A4141" s="7" t="s">
        <v>8271</v>
      </c>
      <c r="B4141" s="8" t="s">
        <v>8272</v>
      </c>
      <c r="C4141" s="8" t="s">
        <v>993</v>
      </c>
      <c r="D4141" s="8" t="str">
        <f>"9783839455074"</f>
        <v>9783839455074</v>
      </c>
    </row>
    <row r="4142" spans="1:4" ht="30" x14ac:dyDescent="0.25">
      <c r="A4142" s="7" t="s">
        <v>547</v>
      </c>
      <c r="B4142" s="8" t="s">
        <v>548</v>
      </c>
      <c r="C4142" s="8" t="s">
        <v>355</v>
      </c>
      <c r="D4142" s="8" t="str">
        <f>"9783110306422"</f>
        <v>9783110306422</v>
      </c>
    </row>
    <row r="4143" spans="1:4" x14ac:dyDescent="0.25">
      <c r="A4143" s="7" t="s">
        <v>5643</v>
      </c>
      <c r="B4143" s="8" t="s">
        <v>5644</v>
      </c>
      <c r="C4143" s="8" t="s">
        <v>5086</v>
      </c>
      <c r="D4143" s="8" t="str">
        <f>"9783658043247"</f>
        <v>9783658043247</v>
      </c>
    </row>
    <row r="4144" spans="1:4" x14ac:dyDescent="0.25">
      <c r="A4144" s="7" t="s">
        <v>313</v>
      </c>
      <c r="B4144" s="8" t="s">
        <v>314</v>
      </c>
      <c r="C4144" s="8" t="s">
        <v>309</v>
      </c>
      <c r="D4144" s="8" t="str">
        <f>"9781592134731"</f>
        <v>9781592134731</v>
      </c>
    </row>
    <row r="4145" spans="1:4" ht="30" x14ac:dyDescent="0.25">
      <c r="A4145" s="7" t="s">
        <v>6528</v>
      </c>
      <c r="B4145" s="8" t="s">
        <v>6529</v>
      </c>
      <c r="C4145" s="8" t="s">
        <v>1865</v>
      </c>
      <c r="D4145" s="8" t="str">
        <f>"9789179296872"</f>
        <v>9789179296872</v>
      </c>
    </row>
    <row r="4146" spans="1:4" x14ac:dyDescent="0.25">
      <c r="A4146" s="7" t="s">
        <v>3210</v>
      </c>
      <c r="B4146" s="8" t="s">
        <v>3211</v>
      </c>
      <c r="C4146" s="8" t="s">
        <v>1879</v>
      </c>
      <c r="D4146" s="8" t="str">
        <f>"9781783743254"</f>
        <v>9781783743254</v>
      </c>
    </row>
    <row r="4147" spans="1:4" x14ac:dyDescent="0.25">
      <c r="A4147" s="7" t="s">
        <v>3050</v>
      </c>
      <c r="B4147" s="8" t="s">
        <v>3051</v>
      </c>
      <c r="C4147" s="8" t="s">
        <v>2073</v>
      </c>
      <c r="D4147" s="8" t="str">
        <f>"9781438464046"</f>
        <v>9781438464046</v>
      </c>
    </row>
    <row r="4148" spans="1:4" ht="30" x14ac:dyDescent="0.25">
      <c r="A4148" s="7" t="s">
        <v>11950</v>
      </c>
      <c r="B4148" s="8" t="s">
        <v>11951</v>
      </c>
      <c r="C4148" s="8" t="s">
        <v>355</v>
      </c>
      <c r="D4148" s="8" t="str">
        <f>"9783110604955"</f>
        <v>9783110604955</v>
      </c>
    </row>
    <row r="4149" spans="1:4" ht="60" x14ac:dyDescent="0.25">
      <c r="A4149" s="7" t="s">
        <v>1076</v>
      </c>
      <c r="B4149" s="8" t="s">
        <v>1077</v>
      </c>
      <c r="C4149" s="8" t="s">
        <v>316</v>
      </c>
      <c r="D4149" s="8" t="str">
        <f>"9783110900736"</f>
        <v>9783110900736</v>
      </c>
    </row>
    <row r="4150" spans="1:4" x14ac:dyDescent="0.25">
      <c r="A4150" s="7" t="s">
        <v>9813</v>
      </c>
      <c r="B4150" s="8" t="s">
        <v>9780</v>
      </c>
      <c r="C4150" s="8" t="s">
        <v>993</v>
      </c>
      <c r="D4150" s="8" t="str">
        <f>"9783839405086"</f>
        <v>9783839405086</v>
      </c>
    </row>
    <row r="4151" spans="1:4" x14ac:dyDescent="0.25">
      <c r="A4151" s="7" t="s">
        <v>4858</v>
      </c>
      <c r="B4151" s="8" t="s">
        <v>4859</v>
      </c>
      <c r="C4151" s="8" t="s">
        <v>1865</v>
      </c>
      <c r="D4151" s="8" t="str">
        <f>"9789179299095"</f>
        <v>9789179299095</v>
      </c>
    </row>
    <row r="4152" spans="1:4" x14ac:dyDescent="0.25">
      <c r="A4152" s="7" t="s">
        <v>324</v>
      </c>
      <c r="B4152" s="8" t="s">
        <v>325</v>
      </c>
      <c r="C4152" s="8" t="s">
        <v>316</v>
      </c>
      <c r="D4152" s="8" t="str">
        <f>"9783110210330"</f>
        <v>9783110210330</v>
      </c>
    </row>
    <row r="4153" spans="1:4" x14ac:dyDescent="0.25">
      <c r="A4153" s="7" t="s">
        <v>13444</v>
      </c>
      <c r="B4153" s="8" t="s">
        <v>13446</v>
      </c>
      <c r="C4153" s="8" t="s">
        <v>13445</v>
      </c>
      <c r="D4153" s="8" t="str">
        <f>"9783777633015"</f>
        <v>9783777633015</v>
      </c>
    </row>
    <row r="4154" spans="1:4" x14ac:dyDescent="0.25">
      <c r="A4154" s="7" t="s">
        <v>11627</v>
      </c>
      <c r="B4154" s="8" t="s">
        <v>11628</v>
      </c>
      <c r="C4154" s="8" t="s">
        <v>355</v>
      </c>
      <c r="D4154" s="8" t="str">
        <f>"9783486777611"</f>
        <v>9783486777611</v>
      </c>
    </row>
    <row r="4155" spans="1:4" ht="30" x14ac:dyDescent="0.25">
      <c r="A4155" s="7" t="s">
        <v>11413</v>
      </c>
      <c r="B4155" s="8" t="s">
        <v>11414</v>
      </c>
      <c r="C4155" s="8" t="s">
        <v>355</v>
      </c>
      <c r="D4155" s="8" t="str">
        <f>"9783110655162"</f>
        <v>9783110655162</v>
      </c>
    </row>
    <row r="4156" spans="1:4" x14ac:dyDescent="0.25">
      <c r="A4156" s="7" t="s">
        <v>14963</v>
      </c>
      <c r="B4156" s="8" t="s">
        <v>3088</v>
      </c>
      <c r="C4156" s="8" t="s">
        <v>1865</v>
      </c>
      <c r="D4156" s="8" t="str">
        <f>"9789175195353"</f>
        <v>9789175195353</v>
      </c>
    </row>
    <row r="4157" spans="1:4" x14ac:dyDescent="0.25">
      <c r="A4157" s="7" t="s">
        <v>12145</v>
      </c>
      <c r="B4157" s="8" t="s">
        <v>12146</v>
      </c>
      <c r="C4157" s="8" t="s">
        <v>355</v>
      </c>
      <c r="D4157" s="8" t="str">
        <f>"9783110747614"</f>
        <v>9783110747614</v>
      </c>
    </row>
    <row r="4158" spans="1:4" ht="30" x14ac:dyDescent="0.25">
      <c r="A4158" s="7" t="s">
        <v>11623</v>
      </c>
      <c r="B4158" s="8" t="s">
        <v>11624</v>
      </c>
      <c r="C4158" s="8" t="s">
        <v>355</v>
      </c>
      <c r="D4158" s="8" t="str">
        <f>"9783110682038"</f>
        <v>9783110682038</v>
      </c>
    </row>
    <row r="4159" spans="1:4" ht="30" x14ac:dyDescent="0.25">
      <c r="A4159" s="7" t="s">
        <v>13382</v>
      </c>
      <c r="B4159" s="8" t="s">
        <v>13383</v>
      </c>
      <c r="C4159" s="8" t="s">
        <v>12712</v>
      </c>
      <c r="D4159" s="8" t="str">
        <f>"9783428584567"</f>
        <v>9783428584567</v>
      </c>
    </row>
    <row r="4160" spans="1:4" ht="30" x14ac:dyDescent="0.25">
      <c r="A4160" s="7" t="s">
        <v>8448</v>
      </c>
      <c r="B4160" s="8" t="s">
        <v>8449</v>
      </c>
      <c r="C4160" s="8" t="s">
        <v>993</v>
      </c>
      <c r="D4160" s="8" t="str">
        <f>"9783839453759"</f>
        <v>9783839453759</v>
      </c>
    </row>
    <row r="4161" spans="1:4" x14ac:dyDescent="0.25">
      <c r="A4161" s="7" t="s">
        <v>7671</v>
      </c>
      <c r="B4161" s="8" t="s">
        <v>7672</v>
      </c>
      <c r="C4161" s="8" t="s">
        <v>993</v>
      </c>
      <c r="D4161" s="8" t="str">
        <f>"9783839424025"</f>
        <v>9783839424025</v>
      </c>
    </row>
    <row r="4162" spans="1:4" ht="30" x14ac:dyDescent="0.25">
      <c r="A4162" s="7" t="s">
        <v>8133</v>
      </c>
      <c r="B4162" s="8" t="s">
        <v>7646</v>
      </c>
      <c r="C4162" s="8" t="s">
        <v>993</v>
      </c>
      <c r="D4162" s="8" t="str">
        <f>"9783839457535"</f>
        <v>9783839457535</v>
      </c>
    </row>
    <row r="4163" spans="1:4" ht="30" x14ac:dyDescent="0.25">
      <c r="A4163" s="7" t="s">
        <v>15663</v>
      </c>
      <c r="B4163" s="8" t="s">
        <v>14941</v>
      </c>
      <c r="C4163" s="8" t="s">
        <v>1865</v>
      </c>
      <c r="D4163" s="8" t="str">
        <f>"9789175199610"</f>
        <v>9789175199610</v>
      </c>
    </row>
    <row r="4164" spans="1:4" x14ac:dyDescent="0.25">
      <c r="A4164" s="7" t="s">
        <v>12050</v>
      </c>
      <c r="B4164" s="8" t="s">
        <v>12051</v>
      </c>
      <c r="C4164" s="8" t="s">
        <v>355</v>
      </c>
      <c r="D4164" s="8" t="str">
        <f>"9783110706611"</f>
        <v>9783110706611</v>
      </c>
    </row>
    <row r="4165" spans="1:4" x14ac:dyDescent="0.25">
      <c r="A4165" s="7" t="s">
        <v>12446</v>
      </c>
      <c r="B4165" s="8" t="s">
        <v>12447</v>
      </c>
      <c r="C4165" s="8" t="s">
        <v>2273</v>
      </c>
      <c r="D4165" s="8" t="str">
        <f>"9783031019302"</f>
        <v>9783031019302</v>
      </c>
    </row>
    <row r="4166" spans="1:4" ht="30" x14ac:dyDescent="0.25">
      <c r="A4166" s="7" t="s">
        <v>13352</v>
      </c>
      <c r="B4166" s="8" t="s">
        <v>191</v>
      </c>
      <c r="C4166" s="8" t="s">
        <v>12712</v>
      </c>
      <c r="D4166" s="8" t="str">
        <f>"9783428575114"</f>
        <v>9783428575114</v>
      </c>
    </row>
    <row r="4167" spans="1:4" ht="30" x14ac:dyDescent="0.25">
      <c r="A4167" s="7" t="s">
        <v>12735</v>
      </c>
      <c r="B4167" s="8" t="s">
        <v>12722</v>
      </c>
      <c r="C4167" s="8" t="s">
        <v>12712</v>
      </c>
      <c r="D4167" s="8" t="str">
        <f>"9783428407439"</f>
        <v>9783428407439</v>
      </c>
    </row>
    <row r="4168" spans="1:4" ht="30" x14ac:dyDescent="0.25">
      <c r="A4168" s="7" t="s">
        <v>12988</v>
      </c>
      <c r="B4168" s="8" t="s">
        <v>12972</v>
      </c>
      <c r="C4168" s="8" t="s">
        <v>12712</v>
      </c>
      <c r="D4168" s="8" t="str">
        <f>"9783428461646"</f>
        <v>9783428461646</v>
      </c>
    </row>
    <row r="4169" spans="1:4" ht="30" x14ac:dyDescent="0.25">
      <c r="A4169" s="7" t="s">
        <v>12990</v>
      </c>
      <c r="B4169" s="8" t="s">
        <v>12991</v>
      </c>
      <c r="C4169" s="8" t="s">
        <v>12712</v>
      </c>
      <c r="D4169" s="8" t="str">
        <f>"9783428462476"</f>
        <v>9783428462476</v>
      </c>
    </row>
    <row r="4170" spans="1:4" x14ac:dyDescent="0.25">
      <c r="A4170" s="7" t="s">
        <v>7852</v>
      </c>
      <c r="B4170" s="8" t="s">
        <v>7853</v>
      </c>
      <c r="C4170" s="8" t="s">
        <v>6704</v>
      </c>
      <c r="D4170" s="8" t="str">
        <f>"9780472901647"</f>
        <v>9780472901647</v>
      </c>
    </row>
    <row r="4171" spans="1:4" ht="45" x14ac:dyDescent="0.25">
      <c r="A4171" s="7" t="s">
        <v>12112</v>
      </c>
      <c r="B4171" s="8" t="s">
        <v>12113</v>
      </c>
      <c r="C4171" s="8" t="s">
        <v>355</v>
      </c>
      <c r="D4171" s="8" t="str">
        <f>"9783110741117"</f>
        <v>9783110741117</v>
      </c>
    </row>
    <row r="4172" spans="1:4" ht="30" x14ac:dyDescent="0.25">
      <c r="A4172" s="7" t="s">
        <v>9383</v>
      </c>
      <c r="B4172" s="8" t="s">
        <v>9384</v>
      </c>
      <c r="C4172" s="8" t="s">
        <v>9256</v>
      </c>
      <c r="D4172" s="8" t="str">
        <f>"9788021096929"</f>
        <v>9788021096929</v>
      </c>
    </row>
    <row r="4173" spans="1:4" x14ac:dyDescent="0.25">
      <c r="A4173" s="7" t="s">
        <v>12147</v>
      </c>
      <c r="B4173" s="8" t="s">
        <v>12148</v>
      </c>
      <c r="C4173" s="8" t="s">
        <v>355</v>
      </c>
      <c r="D4173" s="8" t="str">
        <f>"9783110752908"</f>
        <v>9783110752908</v>
      </c>
    </row>
    <row r="4174" spans="1:4" x14ac:dyDescent="0.25">
      <c r="A4174" s="7" t="s">
        <v>11472</v>
      </c>
      <c r="B4174" s="8" t="s">
        <v>11473</v>
      </c>
      <c r="C4174" s="8" t="s">
        <v>355</v>
      </c>
      <c r="D4174" s="8" t="str">
        <f>"9783486746624"</f>
        <v>9783486746624</v>
      </c>
    </row>
    <row r="4175" spans="1:4" x14ac:dyDescent="0.25">
      <c r="A4175" s="7" t="s">
        <v>14857</v>
      </c>
      <c r="B4175" s="8" t="s">
        <v>14858</v>
      </c>
      <c r="C4175" s="8" t="s">
        <v>1865</v>
      </c>
      <c r="D4175" s="8" t="str">
        <f>"9789173939911"</f>
        <v>9789173939911</v>
      </c>
    </row>
    <row r="4176" spans="1:4" x14ac:dyDescent="0.25">
      <c r="A4176" s="7" t="s">
        <v>878</v>
      </c>
      <c r="B4176" s="8" t="s">
        <v>879</v>
      </c>
      <c r="C4176" s="8" t="s">
        <v>316</v>
      </c>
      <c r="D4176" s="8" t="str">
        <f>"9783110371222"</f>
        <v>9783110371222</v>
      </c>
    </row>
    <row r="4177" spans="1:4" x14ac:dyDescent="0.25">
      <c r="A4177" s="7" t="s">
        <v>10774</v>
      </c>
      <c r="B4177" s="8" t="s">
        <v>10775</v>
      </c>
      <c r="C4177" s="8" t="s">
        <v>1876</v>
      </c>
      <c r="D4177" s="8" t="str">
        <f>"9781922235114"</f>
        <v>9781922235114</v>
      </c>
    </row>
    <row r="4178" spans="1:4" x14ac:dyDescent="0.25">
      <c r="A4178" s="7" t="s">
        <v>11379</v>
      </c>
      <c r="B4178" s="8" t="s">
        <v>11380</v>
      </c>
      <c r="C4178" s="8" t="s">
        <v>355</v>
      </c>
      <c r="D4178" s="8" t="str">
        <f>"9783110681703"</f>
        <v>9783110681703</v>
      </c>
    </row>
    <row r="4179" spans="1:4" x14ac:dyDescent="0.25">
      <c r="A4179" s="7" t="s">
        <v>2611</v>
      </c>
      <c r="B4179" s="8" t="s">
        <v>2612</v>
      </c>
      <c r="C4179" s="8" t="s">
        <v>1345</v>
      </c>
      <c r="D4179" s="8" t="str">
        <f>"9783899587159"</f>
        <v>9783899587159</v>
      </c>
    </row>
    <row r="4180" spans="1:4" ht="30" x14ac:dyDescent="0.25">
      <c r="A4180" s="7" t="s">
        <v>14286</v>
      </c>
      <c r="B4180" s="8" t="s">
        <v>14287</v>
      </c>
      <c r="C4180" s="8" t="s">
        <v>5942</v>
      </c>
      <c r="D4180" s="8" t="str">
        <f>"9783662667781"</f>
        <v>9783662667781</v>
      </c>
    </row>
    <row r="4181" spans="1:4" ht="30" x14ac:dyDescent="0.25">
      <c r="A4181" s="7" t="s">
        <v>10817</v>
      </c>
      <c r="B4181" s="8" t="s">
        <v>10818</v>
      </c>
      <c r="C4181" s="8" t="s">
        <v>1342</v>
      </c>
      <c r="D4181" s="8" t="str">
        <f>"9789633864326"</f>
        <v>9789633864326</v>
      </c>
    </row>
    <row r="4182" spans="1:4" ht="45" x14ac:dyDescent="0.25">
      <c r="A4182" s="7" t="s">
        <v>4754</v>
      </c>
      <c r="B4182" s="8" t="s">
        <v>4755</v>
      </c>
      <c r="C4182" s="8" t="s">
        <v>1865</v>
      </c>
      <c r="D4182" s="8" t="str">
        <f>"9789179299552"</f>
        <v>9789179299552</v>
      </c>
    </row>
    <row r="4183" spans="1:4" x14ac:dyDescent="0.25">
      <c r="A4183" s="7" t="s">
        <v>9761</v>
      </c>
      <c r="B4183" s="8" t="s">
        <v>9762</v>
      </c>
      <c r="C4183" s="8" t="s">
        <v>993</v>
      </c>
      <c r="D4183" s="8" t="str">
        <f>"9783839404065"</f>
        <v>9783839404065</v>
      </c>
    </row>
    <row r="4184" spans="1:4" x14ac:dyDescent="0.25">
      <c r="A4184" s="7" t="s">
        <v>12454</v>
      </c>
      <c r="B4184" s="8" t="s">
        <v>12455</v>
      </c>
      <c r="C4184" s="8" t="s">
        <v>355</v>
      </c>
      <c r="D4184" s="8" t="str">
        <f>"9783110722819"</f>
        <v>9783110722819</v>
      </c>
    </row>
    <row r="4185" spans="1:4" x14ac:dyDescent="0.25">
      <c r="A4185" s="7" t="s">
        <v>15043</v>
      </c>
      <c r="B4185" s="8" t="s">
        <v>15044</v>
      </c>
      <c r="C4185" s="8" t="s">
        <v>1865</v>
      </c>
      <c r="D4185" s="8" t="str">
        <f>"9789185895670"</f>
        <v>9789185895670</v>
      </c>
    </row>
    <row r="4186" spans="1:4" ht="30" x14ac:dyDescent="0.25">
      <c r="A4186" s="7" t="s">
        <v>11528</v>
      </c>
      <c r="B4186" s="8" t="s">
        <v>11529</v>
      </c>
      <c r="C4186" s="8" t="s">
        <v>355</v>
      </c>
      <c r="D4186" s="8" t="str">
        <f>"9783486817300"</f>
        <v>9783486817300</v>
      </c>
    </row>
    <row r="4187" spans="1:4" x14ac:dyDescent="0.25">
      <c r="A4187" s="7" t="s">
        <v>1268</v>
      </c>
      <c r="B4187" s="8" t="s">
        <v>1247</v>
      </c>
      <c r="C4187" s="8" t="s">
        <v>1224</v>
      </c>
      <c r="D4187" s="8" t="str">
        <f>"9781618117045"</f>
        <v>9781618117045</v>
      </c>
    </row>
    <row r="4188" spans="1:4" x14ac:dyDescent="0.25">
      <c r="A4188" s="7" t="s">
        <v>9860</v>
      </c>
      <c r="B4188" s="8" t="s">
        <v>9861</v>
      </c>
      <c r="C4188" s="8" t="s">
        <v>993</v>
      </c>
      <c r="D4188" s="8" t="str">
        <f>"9783839406786"</f>
        <v>9783839406786</v>
      </c>
    </row>
    <row r="4189" spans="1:4" x14ac:dyDescent="0.25">
      <c r="A4189" s="7" t="s">
        <v>8383</v>
      </c>
      <c r="B4189" s="8" t="s">
        <v>7589</v>
      </c>
      <c r="C4189" s="8" t="s">
        <v>993</v>
      </c>
      <c r="D4189" s="8" t="str">
        <f>"9783839437834"</f>
        <v>9783839437834</v>
      </c>
    </row>
    <row r="4190" spans="1:4" ht="30" x14ac:dyDescent="0.25">
      <c r="A4190" s="7" t="s">
        <v>10538</v>
      </c>
      <c r="B4190" s="8" t="s">
        <v>10539</v>
      </c>
      <c r="C4190" s="8" t="s">
        <v>993</v>
      </c>
      <c r="D4190" s="8" t="str">
        <f>"9783839459263"</f>
        <v>9783839459263</v>
      </c>
    </row>
    <row r="4191" spans="1:4" ht="30" x14ac:dyDescent="0.25">
      <c r="A4191" s="7" t="s">
        <v>12168</v>
      </c>
      <c r="B4191" s="8" t="s">
        <v>12169</v>
      </c>
      <c r="C4191" s="8" t="s">
        <v>355</v>
      </c>
      <c r="D4191" s="8" t="str">
        <f>"9783110760361"</f>
        <v>9783110760361</v>
      </c>
    </row>
    <row r="4192" spans="1:4" x14ac:dyDescent="0.25">
      <c r="A4192" s="7" t="s">
        <v>13715</v>
      </c>
      <c r="B4192" s="8" t="s">
        <v>13716</v>
      </c>
      <c r="C4192" s="8" t="s">
        <v>993</v>
      </c>
      <c r="D4192" s="8" t="str">
        <f>"9783839464441"</f>
        <v>9783839464441</v>
      </c>
    </row>
    <row r="4193" spans="1:4" ht="30" x14ac:dyDescent="0.25">
      <c r="A4193" s="7" t="s">
        <v>480</v>
      </c>
      <c r="B4193" s="8" t="s">
        <v>481</v>
      </c>
      <c r="C4193" s="8" t="s">
        <v>316</v>
      </c>
      <c r="D4193" s="8" t="str">
        <f>"9783110266863"</f>
        <v>9783110266863</v>
      </c>
    </row>
    <row r="4194" spans="1:4" ht="30" x14ac:dyDescent="0.25">
      <c r="A4194" s="7" t="s">
        <v>3913</v>
      </c>
      <c r="B4194" s="8" t="s">
        <v>3914</v>
      </c>
      <c r="C4194" s="8" t="s">
        <v>355</v>
      </c>
      <c r="D4194" s="8" t="str">
        <f>"9783110444971"</f>
        <v>9783110444971</v>
      </c>
    </row>
    <row r="4195" spans="1:4" x14ac:dyDescent="0.25">
      <c r="A4195" s="7" t="s">
        <v>12657</v>
      </c>
      <c r="B4195" s="8" t="s">
        <v>12658</v>
      </c>
      <c r="C4195" s="8" t="s">
        <v>1865</v>
      </c>
      <c r="D4195" s="8" t="str">
        <f>"9789179292386"</f>
        <v>9789179292386</v>
      </c>
    </row>
    <row r="4196" spans="1:4" ht="30" x14ac:dyDescent="0.25">
      <c r="A4196" s="7" t="s">
        <v>7204</v>
      </c>
      <c r="B4196" s="8" t="s">
        <v>7205</v>
      </c>
      <c r="C4196" s="8" t="s">
        <v>329</v>
      </c>
      <c r="D4196" s="8" t="str">
        <f>"9789048536757"</f>
        <v>9789048536757</v>
      </c>
    </row>
    <row r="4197" spans="1:4" x14ac:dyDescent="0.25">
      <c r="A4197" s="7" t="s">
        <v>9696</v>
      </c>
      <c r="B4197" s="8" t="s">
        <v>9697</v>
      </c>
      <c r="C4197" s="8" t="s">
        <v>993</v>
      </c>
      <c r="D4197" s="8" t="str">
        <f>"9783839401804"</f>
        <v>9783839401804</v>
      </c>
    </row>
    <row r="4198" spans="1:4" x14ac:dyDescent="0.25">
      <c r="A4198" s="7" t="s">
        <v>6703</v>
      </c>
      <c r="B4198" s="8" t="s">
        <v>6705</v>
      </c>
      <c r="C4198" s="8" t="s">
        <v>6704</v>
      </c>
      <c r="D4198" s="8" t="str">
        <f>"9780472902170"</f>
        <v>9780472902170</v>
      </c>
    </row>
    <row r="4199" spans="1:4" ht="30" x14ac:dyDescent="0.25">
      <c r="A4199" s="7" t="s">
        <v>2092</v>
      </c>
      <c r="B4199" s="8" t="s">
        <v>2093</v>
      </c>
      <c r="C4199" s="8" t="s">
        <v>1345</v>
      </c>
      <c r="D4199" s="8" t="str">
        <f>"9783862199358"</f>
        <v>9783862199358</v>
      </c>
    </row>
    <row r="4200" spans="1:4" ht="30" x14ac:dyDescent="0.25">
      <c r="A4200" s="7" t="s">
        <v>11219</v>
      </c>
      <c r="B4200" s="8" t="s">
        <v>11220</v>
      </c>
      <c r="C4200" s="8" t="s">
        <v>355</v>
      </c>
      <c r="D4200" s="8" t="str">
        <f>"9783110697667"</f>
        <v>9783110697667</v>
      </c>
    </row>
    <row r="4201" spans="1:4" ht="30" x14ac:dyDescent="0.25">
      <c r="A4201" s="7" t="s">
        <v>13709</v>
      </c>
      <c r="B4201" s="8" t="s">
        <v>13710</v>
      </c>
      <c r="C4201" s="8" t="s">
        <v>993</v>
      </c>
      <c r="D4201" s="8" t="str">
        <f>"9783839463345"</f>
        <v>9783839463345</v>
      </c>
    </row>
    <row r="4202" spans="1:4" ht="30" x14ac:dyDescent="0.25">
      <c r="A4202" s="7" t="s">
        <v>9977</v>
      </c>
      <c r="B4202" s="8" t="s">
        <v>9978</v>
      </c>
      <c r="C4202" s="8" t="s">
        <v>993</v>
      </c>
      <c r="D4202" s="8" t="str">
        <f>"9783839409305"</f>
        <v>9783839409305</v>
      </c>
    </row>
    <row r="4203" spans="1:4" ht="30" x14ac:dyDescent="0.25">
      <c r="A4203" s="7" t="s">
        <v>10144</v>
      </c>
      <c r="B4203" s="8" t="s">
        <v>10145</v>
      </c>
      <c r="C4203" s="8" t="s">
        <v>993</v>
      </c>
      <c r="D4203" s="8" t="str">
        <f>"9783839439913"</f>
        <v>9783839439913</v>
      </c>
    </row>
    <row r="4204" spans="1:4" x14ac:dyDescent="0.25">
      <c r="A4204" s="7" t="s">
        <v>2347</v>
      </c>
      <c r="B4204" s="8" t="s">
        <v>2348</v>
      </c>
      <c r="C4204" s="8" t="s">
        <v>1345</v>
      </c>
      <c r="D4204" s="8" t="str">
        <f>"9783737600156"</f>
        <v>9783737600156</v>
      </c>
    </row>
    <row r="4205" spans="1:4" x14ac:dyDescent="0.25">
      <c r="A4205" s="7" t="s">
        <v>11156</v>
      </c>
      <c r="B4205" s="8" t="s">
        <v>11157</v>
      </c>
      <c r="C4205" s="8" t="s">
        <v>355</v>
      </c>
      <c r="D4205" s="8" t="str">
        <f>"9783110720136"</f>
        <v>9783110720136</v>
      </c>
    </row>
    <row r="4206" spans="1:4" ht="30" x14ac:dyDescent="0.25">
      <c r="A4206" s="7" t="s">
        <v>3392</v>
      </c>
      <c r="B4206" s="8" t="s">
        <v>3393</v>
      </c>
      <c r="C4206" s="8" t="s">
        <v>1345</v>
      </c>
      <c r="D4206" s="8" t="str">
        <f>"9783737603737"</f>
        <v>9783737603737</v>
      </c>
    </row>
    <row r="4207" spans="1:4" x14ac:dyDescent="0.25">
      <c r="A4207" s="7" t="s">
        <v>12048</v>
      </c>
      <c r="B4207" s="8" t="s">
        <v>12047</v>
      </c>
      <c r="C4207" s="8" t="s">
        <v>355</v>
      </c>
      <c r="D4207" s="8" t="str">
        <f>"9783110719055"</f>
        <v>9783110719055</v>
      </c>
    </row>
    <row r="4208" spans="1:4" ht="45" x14ac:dyDescent="0.25">
      <c r="A4208" s="7" t="s">
        <v>9336</v>
      </c>
      <c r="B4208" s="8" t="s">
        <v>9337</v>
      </c>
      <c r="C4208" s="8" t="s">
        <v>9256</v>
      </c>
      <c r="D4208" s="8" t="str">
        <f>"9788021095724"</f>
        <v>9788021095724</v>
      </c>
    </row>
    <row r="4209" spans="1:4" x14ac:dyDescent="0.25">
      <c r="A4209" s="7" t="s">
        <v>13727</v>
      </c>
      <c r="B4209" s="8" t="s">
        <v>13728</v>
      </c>
      <c r="C4209" s="8" t="s">
        <v>993</v>
      </c>
      <c r="D4209" s="8" t="str">
        <f>"9783839465080"</f>
        <v>9783839465080</v>
      </c>
    </row>
    <row r="4210" spans="1:4" x14ac:dyDescent="0.25">
      <c r="A4210" s="7" t="s">
        <v>9679</v>
      </c>
      <c r="B4210" s="8" t="s">
        <v>9680</v>
      </c>
      <c r="C4210" s="8" t="s">
        <v>993</v>
      </c>
      <c r="D4210" s="8" t="str">
        <f>"9783839401057"</f>
        <v>9783839401057</v>
      </c>
    </row>
    <row r="4211" spans="1:4" ht="30" x14ac:dyDescent="0.25">
      <c r="A4211" s="7" t="s">
        <v>5591</v>
      </c>
      <c r="B4211" s="8" t="s">
        <v>5592</v>
      </c>
      <c r="C4211" s="8" t="s">
        <v>5134</v>
      </c>
      <c r="D4211" s="8" t="str">
        <f>"9783662621950"</f>
        <v>9783662621950</v>
      </c>
    </row>
    <row r="4212" spans="1:4" ht="30" x14ac:dyDescent="0.25">
      <c r="A4212" s="7" t="s">
        <v>3220</v>
      </c>
      <c r="B4212" s="8" t="s">
        <v>3221</v>
      </c>
      <c r="C4212" s="8" t="s">
        <v>1345</v>
      </c>
      <c r="D4212" s="8" t="str">
        <f>"9783737603270"</f>
        <v>9783737603270</v>
      </c>
    </row>
    <row r="4213" spans="1:4" x14ac:dyDescent="0.25">
      <c r="A4213" s="7" t="s">
        <v>6176</v>
      </c>
      <c r="B4213" s="8" t="s">
        <v>6177</v>
      </c>
      <c r="C4213" s="8" t="s">
        <v>5134</v>
      </c>
      <c r="D4213" s="8" t="str">
        <f>"9783662503973"</f>
        <v>9783662503973</v>
      </c>
    </row>
    <row r="4214" spans="1:4" x14ac:dyDescent="0.25">
      <c r="A4214" s="7" t="s">
        <v>3493</v>
      </c>
      <c r="B4214" s="8" t="s">
        <v>3494</v>
      </c>
      <c r="C4214" s="8" t="s">
        <v>993</v>
      </c>
      <c r="D4214" s="8" t="str">
        <f>"9783839439838"</f>
        <v>9783839439838</v>
      </c>
    </row>
    <row r="4215" spans="1:4" x14ac:dyDescent="0.25">
      <c r="A4215" s="7" t="s">
        <v>9212</v>
      </c>
      <c r="B4215" s="8" t="s">
        <v>9213</v>
      </c>
      <c r="C4215" s="8" t="s">
        <v>4882</v>
      </c>
      <c r="D4215" s="8" t="str">
        <f>"9781781383537"</f>
        <v>9781781383537</v>
      </c>
    </row>
    <row r="4216" spans="1:4" x14ac:dyDescent="0.25">
      <c r="A4216" s="7" t="s">
        <v>9150</v>
      </c>
      <c r="B4216" s="8" t="s">
        <v>9151</v>
      </c>
      <c r="C4216" s="8" t="s">
        <v>9138</v>
      </c>
      <c r="D4216" s="8" t="str">
        <f>"9780520380196"</f>
        <v>9780520380196</v>
      </c>
    </row>
    <row r="4217" spans="1:4" x14ac:dyDescent="0.25">
      <c r="A4217" s="7" t="s">
        <v>10764</v>
      </c>
      <c r="B4217" s="8" t="s">
        <v>10765</v>
      </c>
      <c r="C4217" s="8" t="s">
        <v>1876</v>
      </c>
      <c r="D4217" s="8" t="str">
        <f>"9781921867491"</f>
        <v>9781921867491</v>
      </c>
    </row>
    <row r="4218" spans="1:4" x14ac:dyDescent="0.25">
      <c r="A4218" s="7" t="s">
        <v>8176</v>
      </c>
      <c r="B4218" s="8" t="s">
        <v>8177</v>
      </c>
      <c r="C4218" s="8" t="s">
        <v>993</v>
      </c>
      <c r="D4218" s="8" t="str">
        <f>"9783839452875"</f>
        <v>9783839452875</v>
      </c>
    </row>
    <row r="4219" spans="1:4" x14ac:dyDescent="0.25">
      <c r="A4219" s="7" t="s">
        <v>5738</v>
      </c>
      <c r="B4219" s="8" t="s">
        <v>79</v>
      </c>
      <c r="C4219" s="8" t="s">
        <v>2273</v>
      </c>
      <c r="D4219" s="8" t="str">
        <f>"9783319445885"</f>
        <v>9783319445885</v>
      </c>
    </row>
    <row r="4220" spans="1:4" x14ac:dyDescent="0.25">
      <c r="A4220" s="7" t="s">
        <v>8803</v>
      </c>
      <c r="B4220" s="8" t="s">
        <v>6190</v>
      </c>
      <c r="C4220" s="8" t="s">
        <v>2273</v>
      </c>
      <c r="D4220" s="8" t="str">
        <f>"9783030711474"</f>
        <v>9783030711474</v>
      </c>
    </row>
    <row r="4221" spans="1:4" x14ac:dyDescent="0.25">
      <c r="A4221" s="7" t="s">
        <v>6189</v>
      </c>
      <c r="B4221" s="8" t="s">
        <v>6190</v>
      </c>
      <c r="C4221" s="8" t="s">
        <v>2273</v>
      </c>
      <c r="D4221" s="8" t="str">
        <f>"9783319450230"</f>
        <v>9783319450230</v>
      </c>
    </row>
    <row r="4222" spans="1:4" x14ac:dyDescent="0.25">
      <c r="A4222" s="7" t="s">
        <v>2627</v>
      </c>
      <c r="B4222" s="8" t="s">
        <v>2628</v>
      </c>
      <c r="C4222" s="8" t="s">
        <v>1879</v>
      </c>
      <c r="D4222" s="8" t="str">
        <f>"9781783741854"</f>
        <v>9781783741854</v>
      </c>
    </row>
    <row r="4223" spans="1:4" x14ac:dyDescent="0.25">
      <c r="A4223" s="7" t="s">
        <v>14801</v>
      </c>
      <c r="B4223" s="8" t="s">
        <v>14802</v>
      </c>
      <c r="C4223" s="8" t="s">
        <v>1865</v>
      </c>
      <c r="D4223" s="8" t="str">
        <f>"9789175193281"</f>
        <v>9789175193281</v>
      </c>
    </row>
    <row r="4224" spans="1:4" x14ac:dyDescent="0.25">
      <c r="A4224" s="7" t="s">
        <v>6409</v>
      </c>
      <c r="B4224" s="8" t="s">
        <v>6190</v>
      </c>
      <c r="C4224" s="8" t="s">
        <v>2273</v>
      </c>
      <c r="D4224" s="8" t="str">
        <f>"9783030471507"</f>
        <v>9783030471507</v>
      </c>
    </row>
    <row r="4225" spans="1:4" x14ac:dyDescent="0.25">
      <c r="A4225" s="7" t="s">
        <v>15630</v>
      </c>
      <c r="B4225" s="8" t="s">
        <v>2465</v>
      </c>
      <c r="C4225" s="8" t="s">
        <v>1865</v>
      </c>
      <c r="D4225" s="8" t="str">
        <f>"9789175196961"</f>
        <v>9789175196961</v>
      </c>
    </row>
    <row r="4226" spans="1:4" x14ac:dyDescent="0.25">
      <c r="A4226" s="7" t="s">
        <v>15594</v>
      </c>
      <c r="B4226" s="8" t="s">
        <v>15595</v>
      </c>
      <c r="C4226" s="8" t="s">
        <v>1865</v>
      </c>
      <c r="D4226" s="8" t="str">
        <f>"9789185715602"</f>
        <v>9789185715602</v>
      </c>
    </row>
    <row r="4227" spans="1:4" x14ac:dyDescent="0.25">
      <c r="A4227" s="7" t="s">
        <v>2978</v>
      </c>
      <c r="B4227" s="8" t="s">
        <v>2979</v>
      </c>
      <c r="C4227" s="8" t="s">
        <v>1865</v>
      </c>
      <c r="D4227" s="8" t="str">
        <f>"9789176856093"</f>
        <v>9789176856093</v>
      </c>
    </row>
    <row r="4228" spans="1:4" ht="30" x14ac:dyDescent="0.25">
      <c r="A4228" s="7" t="s">
        <v>5562</v>
      </c>
      <c r="B4228" s="8" t="s">
        <v>5563</v>
      </c>
      <c r="C4228" s="8" t="s">
        <v>1865</v>
      </c>
      <c r="D4228" s="8" t="str">
        <f>"9789179297688"</f>
        <v>9789179297688</v>
      </c>
    </row>
    <row r="4229" spans="1:4" ht="30" x14ac:dyDescent="0.25">
      <c r="A4229" s="7" t="s">
        <v>3186</v>
      </c>
      <c r="B4229" s="8" t="s">
        <v>3187</v>
      </c>
      <c r="C4229" s="8" t="s">
        <v>1865</v>
      </c>
      <c r="D4229" s="8" t="str">
        <f>"9789176855201"</f>
        <v>9789176855201</v>
      </c>
    </row>
    <row r="4230" spans="1:4" x14ac:dyDescent="0.25">
      <c r="A4230" s="7" t="s">
        <v>11535</v>
      </c>
      <c r="B4230" s="8" t="s">
        <v>2749</v>
      </c>
      <c r="C4230" s="8" t="s">
        <v>355</v>
      </c>
      <c r="D4230" s="8" t="str">
        <f>"9783110614855"</f>
        <v>9783110614855</v>
      </c>
    </row>
    <row r="4231" spans="1:4" ht="30" x14ac:dyDescent="0.25">
      <c r="A4231" s="7" t="s">
        <v>2941</v>
      </c>
      <c r="B4231" s="8" t="s">
        <v>2942</v>
      </c>
      <c r="C4231" s="8" t="s">
        <v>1345</v>
      </c>
      <c r="D4231" s="8" t="str">
        <f>"9783737602358"</f>
        <v>9783737602358</v>
      </c>
    </row>
    <row r="4232" spans="1:4" ht="30" x14ac:dyDescent="0.25">
      <c r="A4232" s="7" t="s">
        <v>11587</v>
      </c>
      <c r="B4232" s="8" t="s">
        <v>11588</v>
      </c>
      <c r="C4232" s="8" t="s">
        <v>355</v>
      </c>
      <c r="D4232" s="8" t="str">
        <f>"9783110718133"</f>
        <v>9783110718133</v>
      </c>
    </row>
    <row r="4233" spans="1:4" x14ac:dyDescent="0.25">
      <c r="A4233" s="7" t="s">
        <v>10205</v>
      </c>
      <c r="B4233" s="8" t="s">
        <v>155</v>
      </c>
      <c r="C4233" s="8" t="s">
        <v>993</v>
      </c>
      <c r="D4233" s="8" t="str">
        <f>"9783839444108"</f>
        <v>9783839444108</v>
      </c>
    </row>
    <row r="4234" spans="1:4" x14ac:dyDescent="0.25">
      <c r="A4234" s="7" t="s">
        <v>12730</v>
      </c>
      <c r="B4234" s="8" t="s">
        <v>12718</v>
      </c>
      <c r="C4234" s="8" t="s">
        <v>12712</v>
      </c>
      <c r="D4234" s="8" t="str">
        <f>"9783428404001"</f>
        <v>9783428404001</v>
      </c>
    </row>
    <row r="4235" spans="1:4" x14ac:dyDescent="0.25">
      <c r="A4235" s="7" t="s">
        <v>10255</v>
      </c>
      <c r="B4235" s="8" t="s">
        <v>10256</v>
      </c>
      <c r="C4235" s="8" t="s">
        <v>993</v>
      </c>
      <c r="D4235" s="8" t="str">
        <f>"9783839446270"</f>
        <v>9783839446270</v>
      </c>
    </row>
    <row r="4236" spans="1:4" ht="30" x14ac:dyDescent="0.25">
      <c r="A4236" s="7" t="s">
        <v>6072</v>
      </c>
      <c r="B4236" s="8" t="s">
        <v>6073</v>
      </c>
      <c r="C4236" s="8" t="s">
        <v>5134</v>
      </c>
      <c r="D4236" s="8" t="str">
        <f>"9783662598955"</f>
        <v>9783662598955</v>
      </c>
    </row>
    <row r="4237" spans="1:4" ht="30" x14ac:dyDescent="0.25">
      <c r="A4237" s="7" t="s">
        <v>10900</v>
      </c>
      <c r="B4237" s="8" t="s">
        <v>6073</v>
      </c>
      <c r="C4237" s="8" t="s">
        <v>5134</v>
      </c>
      <c r="D4237" s="8" t="str">
        <f>"9783662642832"</f>
        <v>9783662642832</v>
      </c>
    </row>
    <row r="4238" spans="1:4" ht="30" x14ac:dyDescent="0.25">
      <c r="A4238" s="7" t="s">
        <v>12387</v>
      </c>
      <c r="B4238" s="8" t="s">
        <v>12388</v>
      </c>
      <c r="C4238" s="8" t="s">
        <v>5086</v>
      </c>
      <c r="D4238" s="8" t="str">
        <f>"9783658377175"</f>
        <v>9783658377175</v>
      </c>
    </row>
    <row r="4239" spans="1:4" x14ac:dyDescent="0.25">
      <c r="A4239" s="7" t="s">
        <v>2259</v>
      </c>
      <c r="B4239" s="8" t="s">
        <v>2260</v>
      </c>
      <c r="C4239" s="8" t="s">
        <v>316</v>
      </c>
      <c r="D4239" s="8" t="str">
        <f>"9783110266429"</f>
        <v>9783110266429</v>
      </c>
    </row>
    <row r="4240" spans="1:4" ht="30" x14ac:dyDescent="0.25">
      <c r="A4240" s="7" t="s">
        <v>14951</v>
      </c>
      <c r="B4240" s="8" t="s">
        <v>14952</v>
      </c>
      <c r="C4240" s="8" t="s">
        <v>1865</v>
      </c>
      <c r="D4240" s="8" t="str">
        <f>"9789175197777"</f>
        <v>9789175197777</v>
      </c>
    </row>
    <row r="4241" spans="1:4" ht="30" x14ac:dyDescent="0.25">
      <c r="A4241" s="7" t="s">
        <v>1709</v>
      </c>
      <c r="B4241" s="8" t="s">
        <v>1710</v>
      </c>
      <c r="C4241" s="8" t="s">
        <v>1345</v>
      </c>
      <c r="D4241" s="8" t="str">
        <f>"9783862192632"</f>
        <v>9783862192632</v>
      </c>
    </row>
    <row r="4242" spans="1:4" x14ac:dyDescent="0.25">
      <c r="A4242" s="7" t="s">
        <v>8366</v>
      </c>
      <c r="B4242" s="8" t="s">
        <v>8367</v>
      </c>
      <c r="C4242" s="8" t="s">
        <v>993</v>
      </c>
      <c r="D4242" s="8" t="str">
        <f>"9783839458495"</f>
        <v>9783839458495</v>
      </c>
    </row>
    <row r="4243" spans="1:4" x14ac:dyDescent="0.25">
      <c r="A4243" s="7" t="s">
        <v>1519</v>
      </c>
      <c r="B4243" s="8" t="s">
        <v>1520</v>
      </c>
      <c r="C4243" s="8" t="s">
        <v>1345</v>
      </c>
      <c r="D4243" s="8" t="str">
        <f>"9783862192359"</f>
        <v>9783862192359</v>
      </c>
    </row>
    <row r="4244" spans="1:4" ht="30" x14ac:dyDescent="0.25">
      <c r="A4244" s="7" t="s">
        <v>9359</v>
      </c>
      <c r="B4244" s="8" t="s">
        <v>9360</v>
      </c>
      <c r="C4244" s="8" t="s">
        <v>9256</v>
      </c>
      <c r="D4244" s="8" t="str">
        <f>"9788021096202"</f>
        <v>9788021096202</v>
      </c>
    </row>
    <row r="4245" spans="1:4" ht="30" x14ac:dyDescent="0.25">
      <c r="A4245" s="7" t="s">
        <v>9353</v>
      </c>
      <c r="B4245" s="8" t="s">
        <v>9354</v>
      </c>
      <c r="C4245" s="8" t="s">
        <v>9256</v>
      </c>
      <c r="D4245" s="8" t="str">
        <f>"9788021095991"</f>
        <v>9788021095991</v>
      </c>
    </row>
    <row r="4246" spans="1:4" ht="30" x14ac:dyDescent="0.25">
      <c r="A4246" s="7" t="s">
        <v>9379</v>
      </c>
      <c r="B4246" s="8" t="s">
        <v>127</v>
      </c>
      <c r="C4246" s="8" t="s">
        <v>9256</v>
      </c>
      <c r="D4246" s="8" t="str">
        <f>"9788021096783"</f>
        <v>9788021096783</v>
      </c>
    </row>
    <row r="4247" spans="1:4" x14ac:dyDescent="0.25">
      <c r="A4247" s="7" t="s">
        <v>14192</v>
      </c>
      <c r="B4247" s="8" t="s">
        <v>213</v>
      </c>
      <c r="C4247" s="8" t="s">
        <v>9256</v>
      </c>
      <c r="D4247" s="8" t="str">
        <f>"9788028000110"</f>
        <v>9788028000110</v>
      </c>
    </row>
    <row r="4248" spans="1:4" ht="30" x14ac:dyDescent="0.25">
      <c r="A4248" s="7" t="s">
        <v>13034</v>
      </c>
      <c r="B4248" s="8" t="s">
        <v>13035</v>
      </c>
      <c r="C4248" s="8" t="s">
        <v>12712</v>
      </c>
      <c r="D4248" s="8" t="str">
        <f>"9783428479559"</f>
        <v>9783428479559</v>
      </c>
    </row>
    <row r="4249" spans="1:4" x14ac:dyDescent="0.25">
      <c r="A4249" s="7" t="s">
        <v>10415</v>
      </c>
      <c r="B4249" s="8" t="s">
        <v>7539</v>
      </c>
      <c r="C4249" s="8" t="s">
        <v>993</v>
      </c>
      <c r="D4249" s="8" t="str">
        <f>"9783839455807"</f>
        <v>9783839455807</v>
      </c>
    </row>
    <row r="4250" spans="1:4" x14ac:dyDescent="0.25">
      <c r="A4250" s="7" t="s">
        <v>2115</v>
      </c>
      <c r="B4250" s="8" t="s">
        <v>2116</v>
      </c>
      <c r="C4250" s="8" t="s">
        <v>1345</v>
      </c>
      <c r="D4250" s="8" t="str">
        <f>"9783862199853"</f>
        <v>9783862199853</v>
      </c>
    </row>
    <row r="4251" spans="1:4" x14ac:dyDescent="0.25">
      <c r="A4251" s="7" t="s">
        <v>9414</v>
      </c>
      <c r="B4251" s="8" t="s">
        <v>224</v>
      </c>
      <c r="C4251" s="8" t="s">
        <v>9256</v>
      </c>
      <c r="D4251" s="8" t="str">
        <f>"9788021098190"</f>
        <v>9788021098190</v>
      </c>
    </row>
    <row r="4252" spans="1:4" ht="30" x14ac:dyDescent="0.25">
      <c r="A4252" s="7" t="s">
        <v>1595</v>
      </c>
      <c r="B4252" s="8" t="s">
        <v>1596</v>
      </c>
      <c r="C4252" s="8" t="s">
        <v>1345</v>
      </c>
      <c r="D4252" s="8" t="str">
        <f>"9783862193431"</f>
        <v>9783862193431</v>
      </c>
    </row>
    <row r="4253" spans="1:4" ht="30" x14ac:dyDescent="0.25">
      <c r="A4253" s="7" t="s">
        <v>4020</v>
      </c>
      <c r="B4253" s="8" t="s">
        <v>4021</v>
      </c>
      <c r="C4253" s="8" t="s">
        <v>355</v>
      </c>
      <c r="D4253" s="8" t="str">
        <f>"9783110555165"</f>
        <v>9783110555165</v>
      </c>
    </row>
    <row r="4254" spans="1:4" ht="30" x14ac:dyDescent="0.25">
      <c r="A4254" s="7" t="s">
        <v>9765</v>
      </c>
      <c r="B4254" s="8" t="s">
        <v>9766</v>
      </c>
      <c r="C4254" s="8" t="s">
        <v>993</v>
      </c>
      <c r="D4254" s="8" t="str">
        <f>"9783839404140"</f>
        <v>9783839404140</v>
      </c>
    </row>
    <row r="4255" spans="1:4" ht="30" x14ac:dyDescent="0.25">
      <c r="A4255" s="7" t="s">
        <v>11999</v>
      </c>
      <c r="B4255" s="8" t="s">
        <v>12000</v>
      </c>
      <c r="C4255" s="8" t="s">
        <v>355</v>
      </c>
      <c r="D4255" s="8" t="str">
        <f>"9783110770209"</f>
        <v>9783110770209</v>
      </c>
    </row>
    <row r="4256" spans="1:4" ht="30" x14ac:dyDescent="0.25">
      <c r="A4256" s="7" t="s">
        <v>12134</v>
      </c>
      <c r="B4256" s="8" t="s">
        <v>12135</v>
      </c>
      <c r="C4256" s="8" t="s">
        <v>355</v>
      </c>
      <c r="D4256" s="8" t="str">
        <f>"9783110762341"</f>
        <v>9783110762341</v>
      </c>
    </row>
    <row r="4257" spans="1:4" ht="30" x14ac:dyDescent="0.25">
      <c r="A4257" s="7" t="s">
        <v>13032</v>
      </c>
      <c r="B4257" s="8" t="s">
        <v>13033</v>
      </c>
      <c r="C4257" s="8" t="s">
        <v>12712</v>
      </c>
      <c r="D4257" s="8" t="str">
        <f>"9783428478200"</f>
        <v>9783428478200</v>
      </c>
    </row>
    <row r="4258" spans="1:4" x14ac:dyDescent="0.25">
      <c r="A4258" s="7" t="s">
        <v>10461</v>
      </c>
      <c r="B4258" s="8" t="s">
        <v>10462</v>
      </c>
      <c r="C4258" s="8" t="s">
        <v>993</v>
      </c>
      <c r="D4258" s="8" t="str">
        <f>"9783839457191"</f>
        <v>9783839457191</v>
      </c>
    </row>
    <row r="4259" spans="1:4" ht="30" x14ac:dyDescent="0.25">
      <c r="A4259" s="7" t="s">
        <v>12149</v>
      </c>
      <c r="B4259" s="8" t="s">
        <v>12150</v>
      </c>
      <c r="C4259" s="8" t="s">
        <v>355</v>
      </c>
      <c r="D4259" s="8" t="str">
        <f>"9783110763119"</f>
        <v>9783110763119</v>
      </c>
    </row>
    <row r="4260" spans="1:4" x14ac:dyDescent="0.25">
      <c r="A4260" s="7" t="s">
        <v>9392</v>
      </c>
      <c r="B4260" s="8" t="s">
        <v>9393</v>
      </c>
      <c r="C4260" s="8" t="s">
        <v>9256</v>
      </c>
      <c r="D4260" s="8" t="str">
        <f>"9788021097421"</f>
        <v>9788021097421</v>
      </c>
    </row>
    <row r="4261" spans="1:4" ht="60" x14ac:dyDescent="0.25">
      <c r="A4261" s="7" t="s">
        <v>1174</v>
      </c>
      <c r="B4261" s="8" t="s">
        <v>1175</v>
      </c>
      <c r="C4261" s="8" t="s">
        <v>316</v>
      </c>
      <c r="D4261" s="8" t="str">
        <f>"9783110890501"</f>
        <v>9783110890501</v>
      </c>
    </row>
    <row r="4262" spans="1:4" ht="30" x14ac:dyDescent="0.25">
      <c r="A4262" s="7" t="s">
        <v>3766</v>
      </c>
      <c r="B4262" s="8" t="s">
        <v>3767</v>
      </c>
      <c r="C4262" s="8" t="s">
        <v>1345</v>
      </c>
      <c r="D4262" s="8" t="str">
        <f>"9783737604611"</f>
        <v>9783737604611</v>
      </c>
    </row>
    <row r="4263" spans="1:4" x14ac:dyDescent="0.25">
      <c r="A4263" s="7" t="s">
        <v>7528</v>
      </c>
      <c r="B4263" s="8" t="s">
        <v>7529</v>
      </c>
      <c r="C4263" s="8" t="s">
        <v>993</v>
      </c>
      <c r="D4263" s="8" t="str">
        <f>"9783839406762"</f>
        <v>9783839406762</v>
      </c>
    </row>
    <row r="4264" spans="1:4" ht="30" x14ac:dyDescent="0.25">
      <c r="A4264" s="7" t="s">
        <v>8333</v>
      </c>
      <c r="B4264" s="8" t="s">
        <v>8334</v>
      </c>
      <c r="C4264" s="8" t="s">
        <v>993</v>
      </c>
      <c r="D4264" s="8" t="str">
        <f>"9783839444290"</f>
        <v>9783839444290</v>
      </c>
    </row>
    <row r="4265" spans="1:4" x14ac:dyDescent="0.25">
      <c r="A4265" s="7" t="s">
        <v>12911</v>
      </c>
      <c r="B4265" s="8" t="s">
        <v>12912</v>
      </c>
      <c r="C4265" s="8" t="s">
        <v>12712</v>
      </c>
      <c r="D4265" s="8" t="str">
        <f>"9783428448098"</f>
        <v>9783428448098</v>
      </c>
    </row>
    <row r="4266" spans="1:4" x14ac:dyDescent="0.25">
      <c r="A4266" s="7" t="s">
        <v>8347</v>
      </c>
      <c r="B4266" s="8" t="s">
        <v>8348</v>
      </c>
      <c r="C4266" s="8" t="s">
        <v>993</v>
      </c>
      <c r="D4266" s="8" t="str">
        <f>"9783839450413"</f>
        <v>9783839450413</v>
      </c>
    </row>
    <row r="4267" spans="1:4" ht="30" x14ac:dyDescent="0.25">
      <c r="A4267" s="7" t="s">
        <v>12529</v>
      </c>
      <c r="B4267" s="8" t="s">
        <v>12530</v>
      </c>
      <c r="C4267" s="8" t="s">
        <v>355</v>
      </c>
      <c r="D4267" s="8" t="str">
        <f>"9783110782189"</f>
        <v>9783110782189</v>
      </c>
    </row>
    <row r="4268" spans="1:4" ht="30" x14ac:dyDescent="0.25">
      <c r="A4268" s="7" t="s">
        <v>1715</v>
      </c>
      <c r="B4268" s="8" t="s">
        <v>1716</v>
      </c>
      <c r="C4268" s="8" t="s">
        <v>1345</v>
      </c>
      <c r="D4268" s="8" t="str">
        <f>"9783862196517"</f>
        <v>9783862196517</v>
      </c>
    </row>
    <row r="4269" spans="1:4" x14ac:dyDescent="0.25">
      <c r="A4269" s="7" t="s">
        <v>1637</v>
      </c>
      <c r="B4269" s="8" t="s">
        <v>1638</v>
      </c>
      <c r="C4269" s="8" t="s">
        <v>1345</v>
      </c>
      <c r="D4269" s="8" t="str">
        <f>"9783862191734"</f>
        <v>9783862191734</v>
      </c>
    </row>
    <row r="4270" spans="1:4" ht="30" x14ac:dyDescent="0.25">
      <c r="A4270" s="7" t="s">
        <v>11700</v>
      </c>
      <c r="B4270" s="8" t="s">
        <v>11701</v>
      </c>
      <c r="C4270" s="8" t="s">
        <v>355</v>
      </c>
      <c r="D4270" s="8" t="str">
        <f>"9783110587524"</f>
        <v>9783110587524</v>
      </c>
    </row>
    <row r="4271" spans="1:4" ht="30" x14ac:dyDescent="0.25">
      <c r="A4271" s="7" t="s">
        <v>9513</v>
      </c>
      <c r="B4271" s="8" t="s">
        <v>9514</v>
      </c>
      <c r="C4271" s="8" t="s">
        <v>5086</v>
      </c>
      <c r="D4271" s="8" t="str">
        <f>"9783658361938"</f>
        <v>9783658361938</v>
      </c>
    </row>
    <row r="4272" spans="1:4" x14ac:dyDescent="0.25">
      <c r="A4272" s="7" t="s">
        <v>13388</v>
      </c>
      <c r="B4272" s="8" t="s">
        <v>13389</v>
      </c>
      <c r="C4272" s="8" t="s">
        <v>12712</v>
      </c>
      <c r="D4272" s="8" t="str">
        <f>"9783428586165"</f>
        <v>9783428586165</v>
      </c>
    </row>
    <row r="4273" spans="1:4" ht="30" x14ac:dyDescent="0.25">
      <c r="A4273" s="7" t="s">
        <v>8437</v>
      </c>
      <c r="B4273" s="8" t="s">
        <v>8438</v>
      </c>
      <c r="C4273" s="8" t="s">
        <v>993</v>
      </c>
      <c r="D4273" s="8" t="str">
        <f>"9783839441336"</f>
        <v>9783839441336</v>
      </c>
    </row>
    <row r="4274" spans="1:4" ht="30" x14ac:dyDescent="0.25">
      <c r="A4274" s="7" t="s">
        <v>12622</v>
      </c>
      <c r="B4274" s="8" t="s">
        <v>12623</v>
      </c>
      <c r="C4274" s="8" t="s">
        <v>5086</v>
      </c>
      <c r="D4274" s="8" t="str">
        <f>"9783658383015"</f>
        <v>9783658383015</v>
      </c>
    </row>
    <row r="4275" spans="1:4" ht="45" x14ac:dyDescent="0.25">
      <c r="A4275" s="7" t="s">
        <v>13284</v>
      </c>
      <c r="B4275" s="8" t="s">
        <v>13276</v>
      </c>
      <c r="C4275" s="8" t="s">
        <v>12712</v>
      </c>
      <c r="D4275" s="8" t="str">
        <f>"9783428574469"</f>
        <v>9783428574469</v>
      </c>
    </row>
    <row r="4276" spans="1:4" ht="45" x14ac:dyDescent="0.25">
      <c r="A4276" s="7" t="s">
        <v>13289</v>
      </c>
      <c r="B4276" s="8" t="s">
        <v>13276</v>
      </c>
      <c r="C4276" s="8" t="s">
        <v>12712</v>
      </c>
      <c r="D4276" s="8" t="str">
        <f>"9783428574490"</f>
        <v>9783428574490</v>
      </c>
    </row>
    <row r="4277" spans="1:4" ht="45" x14ac:dyDescent="0.25">
      <c r="A4277" s="7" t="s">
        <v>13285</v>
      </c>
      <c r="B4277" s="8" t="s">
        <v>13276</v>
      </c>
      <c r="C4277" s="8" t="s">
        <v>12712</v>
      </c>
      <c r="D4277" s="8" t="str">
        <f>"9783428574476"</f>
        <v>9783428574476</v>
      </c>
    </row>
    <row r="4278" spans="1:4" x14ac:dyDescent="0.25">
      <c r="A4278" s="7" t="s">
        <v>1793</v>
      </c>
      <c r="B4278" s="8" t="s">
        <v>1794</v>
      </c>
      <c r="C4278" s="8" t="s">
        <v>1345</v>
      </c>
      <c r="D4278" s="8" t="str">
        <f>"9783862197415"</f>
        <v>9783862197415</v>
      </c>
    </row>
    <row r="4279" spans="1:4" x14ac:dyDescent="0.25">
      <c r="A4279" s="7" t="s">
        <v>10074</v>
      </c>
      <c r="B4279" s="8" t="s">
        <v>10075</v>
      </c>
      <c r="C4279" s="8" t="s">
        <v>993</v>
      </c>
      <c r="D4279" s="8" t="str">
        <f>"9783839430002"</f>
        <v>9783839430002</v>
      </c>
    </row>
    <row r="4280" spans="1:4" ht="30" x14ac:dyDescent="0.25">
      <c r="A4280" s="7" t="s">
        <v>9828</v>
      </c>
      <c r="B4280" s="8" t="s">
        <v>9829</v>
      </c>
      <c r="C4280" s="8" t="s">
        <v>993</v>
      </c>
      <c r="D4280" s="8" t="str">
        <f>"9783839405543"</f>
        <v>9783839405543</v>
      </c>
    </row>
    <row r="4281" spans="1:4" x14ac:dyDescent="0.25">
      <c r="A4281" s="7" t="s">
        <v>1068</v>
      </c>
      <c r="B4281" s="8" t="s">
        <v>1069</v>
      </c>
      <c r="C4281" s="8" t="s">
        <v>316</v>
      </c>
      <c r="D4281" s="8" t="str">
        <f>"9783110891621"</f>
        <v>9783110891621</v>
      </c>
    </row>
    <row r="4282" spans="1:4" ht="30" x14ac:dyDescent="0.25">
      <c r="A4282" s="7" t="s">
        <v>6544</v>
      </c>
      <c r="B4282" s="8" t="s">
        <v>6545</v>
      </c>
      <c r="C4282" s="8" t="s">
        <v>993</v>
      </c>
      <c r="D4282" s="8" t="str">
        <f>"9783839455852"</f>
        <v>9783839455852</v>
      </c>
    </row>
    <row r="4283" spans="1:4" x14ac:dyDescent="0.25">
      <c r="A4283" s="7" t="s">
        <v>10055</v>
      </c>
      <c r="B4283" s="8" t="s">
        <v>10056</v>
      </c>
      <c r="C4283" s="8" t="s">
        <v>993</v>
      </c>
      <c r="D4283" s="8" t="str">
        <f>"9783839412275"</f>
        <v>9783839412275</v>
      </c>
    </row>
    <row r="4284" spans="1:4" x14ac:dyDescent="0.25">
      <c r="A4284" s="7" t="s">
        <v>9706</v>
      </c>
      <c r="B4284" s="8" t="s">
        <v>9707</v>
      </c>
      <c r="C4284" s="8" t="s">
        <v>993</v>
      </c>
      <c r="D4284" s="8" t="str">
        <f>"9783839402276"</f>
        <v>9783839402276</v>
      </c>
    </row>
    <row r="4285" spans="1:4" ht="30" x14ac:dyDescent="0.25">
      <c r="A4285" s="7" t="s">
        <v>9732</v>
      </c>
      <c r="B4285" s="8" t="s">
        <v>9733</v>
      </c>
      <c r="C4285" s="8" t="s">
        <v>993</v>
      </c>
      <c r="D4285" s="8" t="str">
        <f>"9783839402986"</f>
        <v>9783839402986</v>
      </c>
    </row>
    <row r="4286" spans="1:4" x14ac:dyDescent="0.25">
      <c r="A4286" s="7" t="s">
        <v>9767</v>
      </c>
      <c r="B4286" s="8" t="s">
        <v>9768</v>
      </c>
      <c r="C4286" s="8" t="s">
        <v>993</v>
      </c>
      <c r="D4286" s="8" t="str">
        <f>"9783839404232"</f>
        <v>9783839404232</v>
      </c>
    </row>
    <row r="4287" spans="1:4" x14ac:dyDescent="0.25">
      <c r="A4287" s="7" t="s">
        <v>5814</v>
      </c>
      <c r="B4287" s="8" t="s">
        <v>71</v>
      </c>
      <c r="C4287" s="8" t="s">
        <v>5134</v>
      </c>
      <c r="D4287" s="8" t="str">
        <f>"9783662582251"</f>
        <v>9783662582251</v>
      </c>
    </row>
    <row r="4288" spans="1:4" x14ac:dyDescent="0.25">
      <c r="A4288" s="7" t="s">
        <v>6240</v>
      </c>
      <c r="B4288" s="8" t="s">
        <v>71</v>
      </c>
      <c r="C4288" s="8" t="s">
        <v>5134</v>
      </c>
      <c r="D4288" s="8" t="str">
        <f>"9783662604878"</f>
        <v>9783662604878</v>
      </c>
    </row>
    <row r="4289" spans="1:4" x14ac:dyDescent="0.25">
      <c r="A4289" s="7" t="s">
        <v>6668</v>
      </c>
      <c r="B4289" s="8" t="s">
        <v>71</v>
      </c>
      <c r="C4289" s="8" t="s">
        <v>5134</v>
      </c>
      <c r="D4289" s="8" t="str">
        <f>"9783662627082"</f>
        <v>9783662627082</v>
      </c>
    </row>
    <row r="4290" spans="1:4" x14ac:dyDescent="0.25">
      <c r="A4290" s="7" t="s">
        <v>9584</v>
      </c>
      <c r="B4290" s="8" t="s">
        <v>71</v>
      </c>
      <c r="C4290" s="8" t="s">
        <v>5134</v>
      </c>
      <c r="D4290" s="8" t="str">
        <f>"9783662646854"</f>
        <v>9783662646854</v>
      </c>
    </row>
    <row r="4291" spans="1:4" x14ac:dyDescent="0.25">
      <c r="A4291" s="7" t="s">
        <v>8479</v>
      </c>
      <c r="B4291" s="8" t="s">
        <v>8480</v>
      </c>
      <c r="C4291" s="8" t="s">
        <v>993</v>
      </c>
      <c r="D4291" s="8" t="str">
        <f>"9783839453285"</f>
        <v>9783839453285</v>
      </c>
    </row>
    <row r="4292" spans="1:4" ht="30" x14ac:dyDescent="0.25">
      <c r="A4292" s="7" t="s">
        <v>11209</v>
      </c>
      <c r="B4292" s="8" t="s">
        <v>11210</v>
      </c>
      <c r="C4292" s="8" t="s">
        <v>355</v>
      </c>
      <c r="D4292" s="8" t="str">
        <f>"9783486754728"</f>
        <v>9783486754728</v>
      </c>
    </row>
    <row r="4293" spans="1:4" ht="30" x14ac:dyDescent="0.25">
      <c r="A4293" s="7" t="s">
        <v>4482</v>
      </c>
      <c r="B4293" s="8" t="s">
        <v>4483</v>
      </c>
      <c r="C4293" s="8" t="s">
        <v>355</v>
      </c>
      <c r="D4293" s="8" t="str">
        <f>"9783110549683"</f>
        <v>9783110549683</v>
      </c>
    </row>
    <row r="4294" spans="1:4" x14ac:dyDescent="0.25">
      <c r="A4294" s="7" t="s">
        <v>10128</v>
      </c>
      <c r="B4294" s="8" t="s">
        <v>7589</v>
      </c>
      <c r="C4294" s="8" t="s">
        <v>993</v>
      </c>
      <c r="D4294" s="8" t="str">
        <f>"9783839437087"</f>
        <v>9783839437087</v>
      </c>
    </row>
    <row r="4295" spans="1:4" ht="30" x14ac:dyDescent="0.25">
      <c r="A4295" s="7" t="s">
        <v>1190</v>
      </c>
      <c r="B4295" s="8" t="s">
        <v>1191</v>
      </c>
      <c r="C4295" s="8" t="s">
        <v>355</v>
      </c>
      <c r="D4295" s="8" t="str">
        <f>"9783486707526"</f>
        <v>9783486707526</v>
      </c>
    </row>
    <row r="4296" spans="1:4" ht="30" x14ac:dyDescent="0.25">
      <c r="A4296" s="7" t="s">
        <v>15838</v>
      </c>
      <c r="B4296" s="8" t="s">
        <v>15839</v>
      </c>
      <c r="C4296" s="8" t="s">
        <v>1865</v>
      </c>
      <c r="D4296" s="8" t="str">
        <f>"9789175197432"</f>
        <v>9789175197432</v>
      </c>
    </row>
    <row r="4297" spans="1:4" ht="30" x14ac:dyDescent="0.25">
      <c r="A4297" s="7" t="s">
        <v>11930</v>
      </c>
      <c r="B4297" s="8" t="s">
        <v>11931</v>
      </c>
      <c r="C4297" s="8" t="s">
        <v>355</v>
      </c>
      <c r="D4297" s="8" t="str">
        <f>"9783111506807"</f>
        <v>9783111506807</v>
      </c>
    </row>
    <row r="4298" spans="1:4" x14ac:dyDescent="0.25">
      <c r="A4298" s="7" t="s">
        <v>11411</v>
      </c>
      <c r="B4298" s="8" t="s">
        <v>11412</v>
      </c>
      <c r="C4298" s="8" t="s">
        <v>355</v>
      </c>
      <c r="D4298" s="8" t="str">
        <f>"9783111708645"</f>
        <v>9783111708645</v>
      </c>
    </row>
    <row r="4299" spans="1:4" x14ac:dyDescent="0.25">
      <c r="A4299" s="7" t="s">
        <v>448</v>
      </c>
      <c r="B4299" s="8" t="s">
        <v>449</v>
      </c>
      <c r="C4299" s="8" t="s">
        <v>316</v>
      </c>
      <c r="D4299" s="8" t="str">
        <f>"9783110220513"</f>
        <v>9783110220513</v>
      </c>
    </row>
    <row r="4300" spans="1:4" ht="30" x14ac:dyDescent="0.25">
      <c r="A4300" s="7" t="s">
        <v>12391</v>
      </c>
      <c r="B4300" s="8" t="s">
        <v>12392</v>
      </c>
      <c r="C4300" s="8" t="s">
        <v>5086</v>
      </c>
      <c r="D4300" s="8" t="str">
        <f>"9783658371418"</f>
        <v>9783658371418</v>
      </c>
    </row>
    <row r="4301" spans="1:4" ht="30" x14ac:dyDescent="0.25">
      <c r="A4301" s="7" t="s">
        <v>13040</v>
      </c>
      <c r="B4301" s="8" t="s">
        <v>184</v>
      </c>
      <c r="C4301" s="8" t="s">
        <v>12712</v>
      </c>
      <c r="D4301" s="8" t="str">
        <f>"9783428484157"</f>
        <v>9783428484157</v>
      </c>
    </row>
    <row r="4302" spans="1:4" ht="30" x14ac:dyDescent="0.25">
      <c r="A4302" s="7" t="s">
        <v>12674</v>
      </c>
      <c r="B4302" s="8" t="s">
        <v>12675</v>
      </c>
      <c r="C4302" s="8" t="s">
        <v>355</v>
      </c>
      <c r="D4302" s="8" t="str">
        <f>"9783110781519"</f>
        <v>9783110781519</v>
      </c>
    </row>
    <row r="4303" spans="1:4" ht="60" x14ac:dyDescent="0.25">
      <c r="A4303" s="7" t="s">
        <v>13346</v>
      </c>
      <c r="B4303" s="8" t="s">
        <v>13064</v>
      </c>
      <c r="C4303" s="8" t="s">
        <v>12712</v>
      </c>
      <c r="D4303" s="8" t="str">
        <f>"9783428575053"</f>
        <v>9783428575053</v>
      </c>
    </row>
    <row r="4304" spans="1:4" ht="30" x14ac:dyDescent="0.25">
      <c r="A4304" s="7" t="s">
        <v>8394</v>
      </c>
      <c r="B4304" s="8" t="s">
        <v>8395</v>
      </c>
      <c r="C4304" s="8" t="s">
        <v>993</v>
      </c>
      <c r="D4304" s="8" t="str">
        <f>"9783839451762"</f>
        <v>9783839451762</v>
      </c>
    </row>
    <row r="4305" spans="1:4" x14ac:dyDescent="0.25">
      <c r="A4305" s="7" t="s">
        <v>8396</v>
      </c>
      <c r="B4305" s="8" t="s">
        <v>8397</v>
      </c>
      <c r="C4305" s="8" t="s">
        <v>993</v>
      </c>
      <c r="D4305" s="8" t="str">
        <f>"9783839457672"</f>
        <v>9783839457672</v>
      </c>
    </row>
    <row r="4306" spans="1:4" ht="30" x14ac:dyDescent="0.25">
      <c r="A4306" s="7" t="s">
        <v>7540</v>
      </c>
      <c r="B4306" s="8" t="s">
        <v>7541</v>
      </c>
      <c r="C4306" s="8" t="s">
        <v>993</v>
      </c>
      <c r="D4306" s="8" t="str">
        <f>"9783839412886"</f>
        <v>9783839412886</v>
      </c>
    </row>
    <row r="4307" spans="1:4" x14ac:dyDescent="0.25">
      <c r="A4307" s="7" t="s">
        <v>7576</v>
      </c>
      <c r="B4307" s="8" t="s">
        <v>7577</v>
      </c>
      <c r="C4307" s="8" t="s">
        <v>993</v>
      </c>
      <c r="D4307" s="8" t="str">
        <f>"9783839415900"</f>
        <v>9783839415900</v>
      </c>
    </row>
    <row r="4308" spans="1:4" ht="30" x14ac:dyDescent="0.25">
      <c r="A4308" s="7" t="s">
        <v>10558</v>
      </c>
      <c r="B4308" s="8" t="s">
        <v>10559</v>
      </c>
      <c r="C4308" s="8" t="s">
        <v>993</v>
      </c>
      <c r="D4308" s="8" t="str">
        <f>"9783839459799"</f>
        <v>9783839459799</v>
      </c>
    </row>
    <row r="4309" spans="1:4" ht="30" x14ac:dyDescent="0.25">
      <c r="A4309" s="7" t="s">
        <v>11223</v>
      </c>
      <c r="B4309" s="8" t="s">
        <v>211</v>
      </c>
      <c r="C4309" s="8" t="s">
        <v>355</v>
      </c>
      <c r="D4309" s="8" t="str">
        <f>"9783110592153"</f>
        <v>9783110592153</v>
      </c>
    </row>
    <row r="4310" spans="1:4" x14ac:dyDescent="0.25">
      <c r="A4310" s="7" t="s">
        <v>10251</v>
      </c>
      <c r="B4310" s="8" t="s">
        <v>10252</v>
      </c>
      <c r="C4310" s="8" t="s">
        <v>993</v>
      </c>
      <c r="D4310" s="8" t="str">
        <f>"9783839446195"</f>
        <v>9783839446195</v>
      </c>
    </row>
    <row r="4311" spans="1:4" ht="30" x14ac:dyDescent="0.25">
      <c r="A4311" s="7" t="s">
        <v>15237</v>
      </c>
      <c r="B4311" s="8" t="s">
        <v>15238</v>
      </c>
      <c r="C4311" s="8" t="s">
        <v>1865</v>
      </c>
      <c r="D4311" s="8" t="str">
        <f>"9789175191669"</f>
        <v>9789175191669</v>
      </c>
    </row>
    <row r="4312" spans="1:4" x14ac:dyDescent="0.25">
      <c r="A4312" s="7" t="s">
        <v>1213</v>
      </c>
      <c r="B4312" s="8" t="s">
        <v>1214</v>
      </c>
      <c r="C4312" s="8" t="s">
        <v>355</v>
      </c>
      <c r="D4312" s="8" t="str">
        <f>"9783486835847"</f>
        <v>9783486835847</v>
      </c>
    </row>
    <row r="4313" spans="1:4" ht="60" x14ac:dyDescent="0.25">
      <c r="A4313" s="7" t="s">
        <v>1136</v>
      </c>
      <c r="B4313" s="8" t="s">
        <v>1137</v>
      </c>
      <c r="C4313" s="8" t="s">
        <v>316</v>
      </c>
      <c r="D4313" s="8" t="str">
        <f>"9783110871104"</f>
        <v>9783110871104</v>
      </c>
    </row>
    <row r="4314" spans="1:4" ht="30" x14ac:dyDescent="0.25">
      <c r="A4314" s="7" t="s">
        <v>9823</v>
      </c>
      <c r="B4314" s="8" t="s">
        <v>9824</v>
      </c>
      <c r="C4314" s="8" t="s">
        <v>993</v>
      </c>
      <c r="D4314" s="8" t="str">
        <f>"9783839405352"</f>
        <v>9783839405352</v>
      </c>
    </row>
    <row r="4315" spans="1:4" x14ac:dyDescent="0.25">
      <c r="A4315" s="7" t="s">
        <v>8237</v>
      </c>
      <c r="B4315" s="8" t="s">
        <v>8238</v>
      </c>
      <c r="C4315" s="8" t="s">
        <v>993</v>
      </c>
      <c r="D4315" s="8" t="str">
        <f>"9783839438602"</f>
        <v>9783839438602</v>
      </c>
    </row>
    <row r="4316" spans="1:4" x14ac:dyDescent="0.25">
      <c r="A4316" s="7" t="s">
        <v>10180</v>
      </c>
      <c r="B4316" s="8" t="s">
        <v>10181</v>
      </c>
      <c r="C4316" s="8" t="s">
        <v>993</v>
      </c>
      <c r="D4316" s="8" t="str">
        <f>"9783839442555"</f>
        <v>9783839442555</v>
      </c>
    </row>
    <row r="4317" spans="1:4" x14ac:dyDescent="0.25">
      <c r="A4317" s="7" t="s">
        <v>9758</v>
      </c>
      <c r="B4317" s="8" t="s">
        <v>9721</v>
      </c>
      <c r="C4317" s="8" t="s">
        <v>993</v>
      </c>
      <c r="D4317" s="8" t="str">
        <f>"9783839403945"</f>
        <v>9783839403945</v>
      </c>
    </row>
    <row r="4318" spans="1:4" x14ac:dyDescent="0.25">
      <c r="A4318" s="7" t="s">
        <v>14478</v>
      </c>
      <c r="B4318" s="8" t="s">
        <v>14479</v>
      </c>
      <c r="C4318" s="8" t="s">
        <v>1865</v>
      </c>
      <c r="D4318" s="8" t="str">
        <f>"9789179291006"</f>
        <v>9789179291006</v>
      </c>
    </row>
    <row r="4319" spans="1:4" ht="30" x14ac:dyDescent="0.25">
      <c r="A4319" s="7" t="s">
        <v>5660</v>
      </c>
      <c r="B4319" s="8" t="s">
        <v>5661</v>
      </c>
      <c r="C4319" s="8" t="s">
        <v>5134</v>
      </c>
      <c r="D4319" s="8" t="str">
        <f>"9783662557075"</f>
        <v>9783662557075</v>
      </c>
    </row>
    <row r="4320" spans="1:4" x14ac:dyDescent="0.25">
      <c r="A4320" s="7" t="s">
        <v>9830</v>
      </c>
      <c r="B4320" s="8" t="s">
        <v>9831</v>
      </c>
      <c r="C4320" s="8" t="s">
        <v>993</v>
      </c>
      <c r="D4320" s="8" t="str">
        <f>"9783839405826"</f>
        <v>9783839405826</v>
      </c>
    </row>
    <row r="4321" spans="1:4" x14ac:dyDescent="0.25">
      <c r="A4321" s="7" t="s">
        <v>11426</v>
      </c>
      <c r="B4321" s="8" t="s">
        <v>11427</v>
      </c>
      <c r="C4321" s="8" t="s">
        <v>355</v>
      </c>
      <c r="D4321" s="8" t="str">
        <f>"9783110845273"</f>
        <v>9783110845273</v>
      </c>
    </row>
    <row r="4322" spans="1:4" ht="30" x14ac:dyDescent="0.25">
      <c r="A4322" s="7" t="s">
        <v>8195</v>
      </c>
      <c r="B4322" s="8" t="s">
        <v>8196</v>
      </c>
      <c r="C4322" s="8" t="s">
        <v>993</v>
      </c>
      <c r="D4322" s="8" t="str">
        <f>"9783839449851"</f>
        <v>9783839449851</v>
      </c>
    </row>
    <row r="4323" spans="1:4" ht="30" x14ac:dyDescent="0.25">
      <c r="A4323" s="7" t="s">
        <v>4319</v>
      </c>
      <c r="B4323" s="8" t="s">
        <v>4320</v>
      </c>
      <c r="C4323" s="8" t="s">
        <v>1345</v>
      </c>
      <c r="D4323" s="8" t="str">
        <f>"9783737606493"</f>
        <v>9783737606493</v>
      </c>
    </row>
    <row r="4324" spans="1:4" x14ac:dyDescent="0.25">
      <c r="A4324" s="7" t="s">
        <v>3511</v>
      </c>
      <c r="B4324" s="8" t="s">
        <v>3512</v>
      </c>
      <c r="C4324" s="8" t="s">
        <v>329</v>
      </c>
      <c r="D4324" s="8" t="str">
        <f>"9789048537280"</f>
        <v>9789048537280</v>
      </c>
    </row>
    <row r="4325" spans="1:4" ht="30" x14ac:dyDescent="0.25">
      <c r="A4325" s="7" t="s">
        <v>10116</v>
      </c>
      <c r="B4325" s="8" t="s">
        <v>10117</v>
      </c>
      <c r="C4325" s="8" t="s">
        <v>993</v>
      </c>
      <c r="D4325" s="8" t="str">
        <f>"9783839435564"</f>
        <v>9783839435564</v>
      </c>
    </row>
    <row r="4326" spans="1:4" ht="30" x14ac:dyDescent="0.25">
      <c r="A4326" s="7" t="s">
        <v>8760</v>
      </c>
      <c r="B4326" s="8" t="s">
        <v>8761</v>
      </c>
      <c r="C4326" s="8" t="s">
        <v>5134</v>
      </c>
      <c r="D4326" s="8" t="str">
        <f>"9783662634493"</f>
        <v>9783662634493</v>
      </c>
    </row>
    <row r="4327" spans="1:4" ht="30" x14ac:dyDescent="0.25">
      <c r="A4327" s="7" t="s">
        <v>11739</v>
      </c>
      <c r="B4327" s="8" t="s">
        <v>11740</v>
      </c>
      <c r="C4327" s="8" t="s">
        <v>355</v>
      </c>
      <c r="D4327" s="8" t="str">
        <f>"9783111667836"</f>
        <v>9783111667836</v>
      </c>
    </row>
    <row r="4328" spans="1:4" ht="30" x14ac:dyDescent="0.25">
      <c r="A4328" s="7" t="s">
        <v>11451</v>
      </c>
      <c r="B4328" s="8" t="s">
        <v>11452</v>
      </c>
      <c r="C4328" s="8" t="s">
        <v>355</v>
      </c>
      <c r="D4328" s="8" t="str">
        <f>"9783111642673"</f>
        <v>9783111642673</v>
      </c>
    </row>
    <row r="4329" spans="1:4" ht="30" x14ac:dyDescent="0.25">
      <c r="A4329" s="7" t="s">
        <v>14735</v>
      </c>
      <c r="B4329" s="8" t="s">
        <v>14712</v>
      </c>
      <c r="C4329" s="8" t="s">
        <v>1865</v>
      </c>
      <c r="D4329" s="8" t="str">
        <f>"9789179293574"</f>
        <v>9789179293574</v>
      </c>
    </row>
    <row r="4330" spans="1:4" x14ac:dyDescent="0.25">
      <c r="A4330" s="7" t="s">
        <v>2024</v>
      </c>
      <c r="B4330" s="8" t="s">
        <v>2025</v>
      </c>
      <c r="C4330" s="8" t="s">
        <v>1962</v>
      </c>
      <c r="D4330" s="8" t="str">
        <f>"9782759206780"</f>
        <v>9782759206780</v>
      </c>
    </row>
    <row r="4331" spans="1:4" x14ac:dyDescent="0.25">
      <c r="A4331" s="7" t="s">
        <v>7945</v>
      </c>
      <c r="B4331" s="8" t="s">
        <v>7946</v>
      </c>
      <c r="C4331" s="8" t="s">
        <v>1962</v>
      </c>
      <c r="D4331" s="8" t="str">
        <f>"9782759231256"</f>
        <v>9782759231256</v>
      </c>
    </row>
    <row r="4332" spans="1:4" x14ac:dyDescent="0.25">
      <c r="A4332" s="7" t="s">
        <v>3955</v>
      </c>
      <c r="B4332" s="8" t="s">
        <v>3956</v>
      </c>
      <c r="C4332" s="8" t="s">
        <v>1962</v>
      </c>
      <c r="D4332" s="8" t="str">
        <f>"9782759227570"</f>
        <v>9782759227570</v>
      </c>
    </row>
    <row r="4333" spans="1:4" x14ac:dyDescent="0.25">
      <c r="A4333" s="7" t="s">
        <v>3555</v>
      </c>
      <c r="B4333" s="8" t="s">
        <v>3556</v>
      </c>
      <c r="C4333" s="8" t="s">
        <v>1962</v>
      </c>
      <c r="D4333" s="8" t="str">
        <f>"9782759226399"</f>
        <v>9782759226399</v>
      </c>
    </row>
    <row r="4334" spans="1:4" x14ac:dyDescent="0.25">
      <c r="A4334" s="7" t="s">
        <v>982</v>
      </c>
      <c r="B4334" s="8" t="s">
        <v>983</v>
      </c>
      <c r="C4334" s="8" t="s">
        <v>316</v>
      </c>
      <c r="D4334" s="8" t="str">
        <f>"9783110409239"</f>
        <v>9783110409239</v>
      </c>
    </row>
    <row r="4335" spans="1:4" x14ac:dyDescent="0.25">
      <c r="A4335" s="7" t="s">
        <v>3214</v>
      </c>
      <c r="B4335" s="8" t="s">
        <v>3215</v>
      </c>
      <c r="C4335" s="8" t="s">
        <v>1879</v>
      </c>
      <c r="D4335" s="8" t="str">
        <f>"9781783743452"</f>
        <v>9781783743452</v>
      </c>
    </row>
    <row r="4336" spans="1:4" x14ac:dyDescent="0.25">
      <c r="A4336" s="7" t="s">
        <v>8028</v>
      </c>
      <c r="B4336" s="8" t="s">
        <v>8029</v>
      </c>
      <c r="C4336" s="8" t="s">
        <v>1962</v>
      </c>
      <c r="D4336" s="8" t="str">
        <f>"9782759208838"</f>
        <v>9782759208838</v>
      </c>
    </row>
    <row r="4337" spans="1:4" x14ac:dyDescent="0.25">
      <c r="A4337" s="7" t="s">
        <v>7944</v>
      </c>
      <c r="B4337" s="8" t="s">
        <v>2965</v>
      </c>
      <c r="C4337" s="8" t="s">
        <v>1962</v>
      </c>
      <c r="D4337" s="8" t="str">
        <f>"9782759231591"</f>
        <v>9782759231591</v>
      </c>
    </row>
    <row r="4338" spans="1:4" x14ac:dyDescent="0.25">
      <c r="A4338" s="7" t="s">
        <v>14009</v>
      </c>
      <c r="B4338" s="8" t="s">
        <v>13998</v>
      </c>
      <c r="C4338" s="8" t="s">
        <v>13997</v>
      </c>
      <c r="D4338" s="8" t="str">
        <f>"9789566095149"</f>
        <v>9789566095149</v>
      </c>
    </row>
    <row r="4339" spans="1:4" ht="30" x14ac:dyDescent="0.25">
      <c r="A4339" s="7" t="s">
        <v>15627</v>
      </c>
      <c r="B4339" s="8" t="s">
        <v>15628</v>
      </c>
      <c r="C4339" s="8" t="s">
        <v>1865</v>
      </c>
      <c r="D4339" s="8" t="str">
        <f>"9789185831012"</f>
        <v>9789185831012</v>
      </c>
    </row>
    <row r="4340" spans="1:4" x14ac:dyDescent="0.25">
      <c r="A4340" s="7" t="s">
        <v>4137</v>
      </c>
      <c r="B4340" s="8" t="s">
        <v>4138</v>
      </c>
      <c r="C4340" s="8" t="s">
        <v>1962</v>
      </c>
      <c r="D4340" s="8" t="str">
        <f>"9782759228713"</f>
        <v>9782759228713</v>
      </c>
    </row>
    <row r="4341" spans="1:4" x14ac:dyDescent="0.25">
      <c r="A4341" s="7" t="s">
        <v>2672</v>
      </c>
      <c r="B4341" s="8" t="s">
        <v>42</v>
      </c>
      <c r="C4341" s="8" t="s">
        <v>1962</v>
      </c>
      <c r="D4341" s="8" t="str">
        <f>"9782759224371"</f>
        <v>9782759224371</v>
      </c>
    </row>
    <row r="4342" spans="1:4" x14ac:dyDescent="0.25">
      <c r="A4342" s="7" t="s">
        <v>10424</v>
      </c>
      <c r="B4342" s="8" t="s">
        <v>10425</v>
      </c>
      <c r="C4342" s="8" t="s">
        <v>993</v>
      </c>
      <c r="D4342" s="8" t="str">
        <f>"9783839456415"</f>
        <v>9783839456415</v>
      </c>
    </row>
    <row r="4343" spans="1:4" ht="30" x14ac:dyDescent="0.25">
      <c r="A4343" s="7" t="s">
        <v>772</v>
      </c>
      <c r="B4343" s="8" t="s">
        <v>773</v>
      </c>
      <c r="C4343" s="8" t="s">
        <v>316</v>
      </c>
      <c r="D4343" s="8" t="str">
        <f>"9783110330953"</f>
        <v>9783110330953</v>
      </c>
    </row>
    <row r="4344" spans="1:4" x14ac:dyDescent="0.25">
      <c r="A4344" s="7" t="s">
        <v>12485</v>
      </c>
      <c r="B4344" s="8" t="s">
        <v>12486</v>
      </c>
      <c r="C4344" s="8" t="s">
        <v>1962</v>
      </c>
      <c r="D4344" s="8" t="str">
        <f>"9782759235421"</f>
        <v>9782759235421</v>
      </c>
    </row>
    <row r="4345" spans="1:4" x14ac:dyDescent="0.25">
      <c r="A4345" s="7" t="s">
        <v>7226</v>
      </c>
      <c r="B4345" s="8" t="s">
        <v>7227</v>
      </c>
      <c r="C4345" s="8" t="s">
        <v>355</v>
      </c>
      <c r="D4345" s="8" t="str">
        <f>"9783110674668"</f>
        <v>9783110674668</v>
      </c>
    </row>
    <row r="4346" spans="1:4" x14ac:dyDescent="0.25">
      <c r="A4346" s="7" t="s">
        <v>14005</v>
      </c>
      <c r="B4346" s="8" t="s">
        <v>14006</v>
      </c>
      <c r="C4346" s="8" t="s">
        <v>13997</v>
      </c>
      <c r="D4346" s="8" t="str">
        <f>"9789566095118"</f>
        <v>9789566095118</v>
      </c>
    </row>
    <row r="4347" spans="1:4" x14ac:dyDescent="0.25">
      <c r="A4347" s="7" t="s">
        <v>11228</v>
      </c>
      <c r="B4347" s="8" t="s">
        <v>11229</v>
      </c>
      <c r="C4347" s="8" t="s">
        <v>355</v>
      </c>
      <c r="D4347" s="8" t="str">
        <f>"9783110722383"</f>
        <v>9783110722383</v>
      </c>
    </row>
    <row r="4348" spans="1:4" ht="30" x14ac:dyDescent="0.25">
      <c r="A4348" s="7" t="s">
        <v>14020</v>
      </c>
      <c r="B4348" s="8" t="s">
        <v>209</v>
      </c>
      <c r="C4348" s="8" t="s">
        <v>13997</v>
      </c>
      <c r="D4348" s="8" t="str">
        <f>"9789566095231"</f>
        <v>9789566095231</v>
      </c>
    </row>
    <row r="4349" spans="1:4" x14ac:dyDescent="0.25">
      <c r="A4349" s="7" t="s">
        <v>7198</v>
      </c>
      <c r="B4349" s="8" t="s">
        <v>7199</v>
      </c>
      <c r="C4349" s="8" t="s">
        <v>355</v>
      </c>
      <c r="D4349" s="8" t="str">
        <f>"9783110605679"</f>
        <v>9783110605679</v>
      </c>
    </row>
    <row r="4350" spans="1:4" x14ac:dyDescent="0.25">
      <c r="A4350" s="7" t="s">
        <v>14049</v>
      </c>
      <c r="B4350" s="8" t="s">
        <v>14050</v>
      </c>
      <c r="C4350" s="8" t="s">
        <v>13997</v>
      </c>
      <c r="D4350" s="8" t="str">
        <f>"9789568416645"</f>
        <v>9789568416645</v>
      </c>
    </row>
    <row r="4351" spans="1:4" ht="30" x14ac:dyDescent="0.25">
      <c r="A4351" s="7" t="s">
        <v>14055</v>
      </c>
      <c r="B4351" s="8" t="s">
        <v>14056</v>
      </c>
      <c r="C4351" s="8" t="s">
        <v>13997</v>
      </c>
      <c r="D4351" s="8" t="str">
        <f>"9789568416836"</f>
        <v>9789568416836</v>
      </c>
    </row>
    <row r="4352" spans="1:4" x14ac:dyDescent="0.25">
      <c r="A4352" s="7" t="s">
        <v>11922</v>
      </c>
      <c r="B4352" s="8" t="s">
        <v>4996</v>
      </c>
      <c r="C4352" s="8" t="s">
        <v>355</v>
      </c>
      <c r="D4352" s="8" t="str">
        <f>"9783110707557"</f>
        <v>9783110707557</v>
      </c>
    </row>
    <row r="4353" spans="1:4" x14ac:dyDescent="0.25">
      <c r="A4353" s="7" t="s">
        <v>1991</v>
      </c>
      <c r="B4353" s="8" t="s">
        <v>1992</v>
      </c>
      <c r="C4353" s="8" t="s">
        <v>1962</v>
      </c>
      <c r="D4353" s="8" t="str">
        <f>"9782759207176"</f>
        <v>9782759207176</v>
      </c>
    </row>
    <row r="4354" spans="1:4" x14ac:dyDescent="0.25">
      <c r="A4354" s="7" t="s">
        <v>8098</v>
      </c>
      <c r="B4354" s="8" t="s">
        <v>8099</v>
      </c>
      <c r="C4354" s="8" t="s">
        <v>1962</v>
      </c>
      <c r="D4354" s="8" t="str">
        <f>"9782759233083"</f>
        <v>9782759233083</v>
      </c>
    </row>
    <row r="4355" spans="1:4" x14ac:dyDescent="0.25">
      <c r="A4355" s="7" t="s">
        <v>2028</v>
      </c>
      <c r="B4355" s="8" t="s">
        <v>2029</v>
      </c>
      <c r="C4355" s="8" t="s">
        <v>1962</v>
      </c>
      <c r="D4355" s="8" t="str">
        <f>"9782759207237"</f>
        <v>9782759207237</v>
      </c>
    </row>
    <row r="4356" spans="1:4" x14ac:dyDescent="0.25">
      <c r="A4356" s="7" t="s">
        <v>8017</v>
      </c>
      <c r="B4356" s="8" t="s">
        <v>8018</v>
      </c>
      <c r="C4356" s="8" t="s">
        <v>1962</v>
      </c>
      <c r="D4356" s="8" t="str">
        <f>"9782759231683"</f>
        <v>9782759231683</v>
      </c>
    </row>
    <row r="4357" spans="1:4" x14ac:dyDescent="0.25">
      <c r="A4357" s="7" t="s">
        <v>14081</v>
      </c>
      <c r="B4357" s="8" t="s">
        <v>14082</v>
      </c>
      <c r="C4357" s="8" t="s">
        <v>993</v>
      </c>
      <c r="D4357" s="8" t="str">
        <f>"9783839459119"</f>
        <v>9783839459119</v>
      </c>
    </row>
    <row r="4358" spans="1:4" x14ac:dyDescent="0.25">
      <c r="A4358" s="7" t="s">
        <v>7181</v>
      </c>
      <c r="B4358" s="8" t="s">
        <v>7182</v>
      </c>
      <c r="C4358" s="8" t="s">
        <v>355</v>
      </c>
      <c r="D4358" s="8" t="str">
        <f>"9783110641226"</f>
        <v>9783110641226</v>
      </c>
    </row>
    <row r="4359" spans="1:4" x14ac:dyDescent="0.25">
      <c r="A4359" s="7" t="s">
        <v>2053</v>
      </c>
      <c r="B4359" s="8" t="s">
        <v>2052</v>
      </c>
      <c r="C4359" s="8" t="s">
        <v>1962</v>
      </c>
      <c r="D4359" s="8" t="str">
        <f>"9782759201426"</f>
        <v>9782759201426</v>
      </c>
    </row>
    <row r="4360" spans="1:4" x14ac:dyDescent="0.25">
      <c r="A4360" s="7" t="s">
        <v>2051</v>
      </c>
      <c r="B4360" s="8" t="s">
        <v>2052</v>
      </c>
      <c r="C4360" s="8" t="s">
        <v>1962</v>
      </c>
      <c r="D4360" s="8" t="str">
        <f>"9782759200962"</f>
        <v>9782759200962</v>
      </c>
    </row>
    <row r="4361" spans="1:4" x14ac:dyDescent="0.25">
      <c r="A4361" s="7" t="s">
        <v>7966</v>
      </c>
      <c r="B4361" s="8" t="s">
        <v>7967</v>
      </c>
      <c r="C4361" s="8" t="s">
        <v>1962</v>
      </c>
      <c r="D4361" s="8" t="str">
        <f>"9782759232604"</f>
        <v>9782759232604</v>
      </c>
    </row>
    <row r="4362" spans="1:4" ht="30" x14ac:dyDescent="0.25">
      <c r="A4362" s="7" t="s">
        <v>14025</v>
      </c>
      <c r="B4362" s="8" t="s">
        <v>14026</v>
      </c>
      <c r="C4362" s="8" t="s">
        <v>13997</v>
      </c>
      <c r="D4362" s="8" t="str">
        <f>"9789566095279"</f>
        <v>9789566095279</v>
      </c>
    </row>
    <row r="4363" spans="1:4" x14ac:dyDescent="0.25">
      <c r="A4363" s="7" t="s">
        <v>8030</v>
      </c>
      <c r="B4363" s="8" t="s">
        <v>3556</v>
      </c>
      <c r="C4363" s="8" t="s">
        <v>1962</v>
      </c>
      <c r="D4363" s="8" t="str">
        <f>"9782759231775"</f>
        <v>9782759231775</v>
      </c>
    </row>
    <row r="4364" spans="1:4" x14ac:dyDescent="0.25">
      <c r="A4364" s="7" t="s">
        <v>3145</v>
      </c>
      <c r="B4364" s="8" t="s">
        <v>112</v>
      </c>
      <c r="C4364" s="8" t="s">
        <v>1962</v>
      </c>
      <c r="D4364" s="8" t="str">
        <f>"9782759208876"</f>
        <v>9782759208876</v>
      </c>
    </row>
    <row r="4365" spans="1:4" ht="30" x14ac:dyDescent="0.25">
      <c r="A4365" s="7" t="s">
        <v>12155</v>
      </c>
      <c r="B4365" s="8" t="s">
        <v>11280</v>
      </c>
      <c r="C4365" s="8" t="s">
        <v>355</v>
      </c>
      <c r="D4365" s="8" t="str">
        <f>"9783110701869"</f>
        <v>9783110701869</v>
      </c>
    </row>
    <row r="4366" spans="1:4" x14ac:dyDescent="0.25">
      <c r="A4366" s="7" t="s">
        <v>7963</v>
      </c>
      <c r="B4366" s="8" t="s">
        <v>42</v>
      </c>
      <c r="C4366" s="8" t="s">
        <v>1962</v>
      </c>
      <c r="D4366" s="8" t="str">
        <f>"9782759227846"</f>
        <v>9782759227846</v>
      </c>
    </row>
    <row r="4367" spans="1:4" x14ac:dyDescent="0.25">
      <c r="A4367" s="7" t="s">
        <v>4267</v>
      </c>
      <c r="B4367" s="8" t="s">
        <v>4268</v>
      </c>
      <c r="C4367" s="8" t="s">
        <v>1962</v>
      </c>
      <c r="D4367" s="8" t="str">
        <f>"9782759228232"</f>
        <v>9782759228232</v>
      </c>
    </row>
    <row r="4368" spans="1:4" x14ac:dyDescent="0.25">
      <c r="A4368" s="7" t="s">
        <v>7961</v>
      </c>
      <c r="B4368" s="8" t="s">
        <v>7962</v>
      </c>
      <c r="C4368" s="8" t="s">
        <v>1962</v>
      </c>
      <c r="D4368" s="8" t="str">
        <f>"9782759231546"</f>
        <v>9782759231546</v>
      </c>
    </row>
    <row r="4369" spans="1:4" x14ac:dyDescent="0.25">
      <c r="A4369" s="7" t="s">
        <v>10830</v>
      </c>
      <c r="B4369" s="8" t="s">
        <v>10831</v>
      </c>
      <c r="C4369" s="8" t="s">
        <v>1962</v>
      </c>
      <c r="D4369" s="8" t="str">
        <f>"9782759234493"</f>
        <v>9782759234493</v>
      </c>
    </row>
    <row r="4370" spans="1:4" ht="30" x14ac:dyDescent="0.25">
      <c r="A4370" s="7" t="s">
        <v>16215</v>
      </c>
      <c r="B4370" s="8" t="s">
        <v>16216</v>
      </c>
      <c r="C4370" s="8" t="s">
        <v>1865</v>
      </c>
      <c r="D4370" s="8" t="str">
        <f>"9789173939416"</f>
        <v>9789173939416</v>
      </c>
    </row>
    <row r="4371" spans="1:4" x14ac:dyDescent="0.25">
      <c r="A4371" s="7" t="s">
        <v>4670</v>
      </c>
      <c r="B4371" s="8" t="s">
        <v>4671</v>
      </c>
      <c r="C4371" s="8" t="s">
        <v>1879</v>
      </c>
      <c r="D4371" s="8" t="str">
        <f>"9781783747818"</f>
        <v>9781783747818</v>
      </c>
    </row>
    <row r="4372" spans="1:4" x14ac:dyDescent="0.25">
      <c r="A4372" s="7" t="s">
        <v>1979</v>
      </c>
      <c r="B4372" s="8" t="s">
        <v>1980</v>
      </c>
      <c r="C4372" s="8" t="s">
        <v>1962</v>
      </c>
      <c r="D4372" s="8" t="str">
        <f>"9782759207084"</f>
        <v>9782759207084</v>
      </c>
    </row>
    <row r="4373" spans="1:4" x14ac:dyDescent="0.25">
      <c r="A4373" s="7" t="s">
        <v>15584</v>
      </c>
      <c r="B4373" s="8" t="s">
        <v>15585</v>
      </c>
      <c r="C4373" s="8" t="s">
        <v>1865</v>
      </c>
      <c r="D4373" s="8" t="str">
        <f>"9789173939539"</f>
        <v>9789173939539</v>
      </c>
    </row>
    <row r="4374" spans="1:4" x14ac:dyDescent="0.25">
      <c r="A4374" s="7" t="s">
        <v>11207</v>
      </c>
      <c r="B4374" s="8" t="s">
        <v>11208</v>
      </c>
      <c r="C4374" s="8" t="s">
        <v>355</v>
      </c>
      <c r="D4374" s="8" t="str">
        <f>"9783110731958"</f>
        <v>9783110731958</v>
      </c>
    </row>
    <row r="4375" spans="1:4" ht="30" x14ac:dyDescent="0.25">
      <c r="A4375" s="7" t="s">
        <v>11420</v>
      </c>
      <c r="B4375" s="8" t="s">
        <v>11421</v>
      </c>
      <c r="C4375" s="8" t="s">
        <v>355</v>
      </c>
      <c r="D4375" s="8" t="str">
        <f>"9783486594218"</f>
        <v>9783486594218</v>
      </c>
    </row>
    <row r="4376" spans="1:4" x14ac:dyDescent="0.25">
      <c r="A4376" s="7" t="s">
        <v>11430</v>
      </c>
      <c r="B4376" s="8" t="s">
        <v>11431</v>
      </c>
      <c r="C4376" s="8" t="s">
        <v>355</v>
      </c>
      <c r="D4376" s="8" t="str">
        <f>"9783486823363"</f>
        <v>9783486823363</v>
      </c>
    </row>
    <row r="4377" spans="1:4" x14ac:dyDescent="0.25">
      <c r="A4377" s="7" t="s">
        <v>3661</v>
      </c>
      <c r="B4377" s="8" t="s">
        <v>3662</v>
      </c>
      <c r="C4377" s="8" t="s">
        <v>1865</v>
      </c>
      <c r="D4377" s="8" t="str">
        <f>"9789176853368"</f>
        <v>9789176853368</v>
      </c>
    </row>
    <row r="4378" spans="1:4" ht="30" x14ac:dyDescent="0.25">
      <c r="A4378" s="7" t="s">
        <v>8750</v>
      </c>
      <c r="B4378" s="8" t="s">
        <v>8751</v>
      </c>
      <c r="C4378" s="8" t="s">
        <v>5358</v>
      </c>
      <c r="D4378" s="8" t="str">
        <f>"9781789247688"</f>
        <v>9781789247688</v>
      </c>
    </row>
    <row r="4379" spans="1:4" ht="30" x14ac:dyDescent="0.25">
      <c r="A4379" s="7" t="s">
        <v>10182</v>
      </c>
      <c r="B4379" s="8" t="s">
        <v>10183</v>
      </c>
      <c r="C4379" s="8" t="s">
        <v>993</v>
      </c>
      <c r="D4379" s="8" t="str">
        <f>"9783839442678"</f>
        <v>9783839442678</v>
      </c>
    </row>
    <row r="4380" spans="1:4" x14ac:dyDescent="0.25">
      <c r="A4380" s="7" t="s">
        <v>584</v>
      </c>
      <c r="B4380" s="8" t="s">
        <v>585</v>
      </c>
      <c r="C4380" s="8" t="s">
        <v>562</v>
      </c>
      <c r="D4380" s="8" t="str">
        <f>"9780822390787"</f>
        <v>9780822390787</v>
      </c>
    </row>
    <row r="4381" spans="1:4" x14ac:dyDescent="0.25">
      <c r="A4381" s="7" t="s">
        <v>10845</v>
      </c>
      <c r="B4381" s="8" t="s">
        <v>10846</v>
      </c>
      <c r="C4381" s="8" t="s">
        <v>2273</v>
      </c>
      <c r="D4381" s="8" t="str">
        <f>"9783030818814"</f>
        <v>9783030818814</v>
      </c>
    </row>
    <row r="4382" spans="1:4" x14ac:dyDescent="0.25">
      <c r="A4382" s="7" t="s">
        <v>4139</v>
      </c>
      <c r="B4382" s="8" t="s">
        <v>4140</v>
      </c>
      <c r="C4382" s="8" t="s">
        <v>1962</v>
      </c>
      <c r="D4382" s="8" t="str">
        <f>"9782759228805"</f>
        <v>9782759228805</v>
      </c>
    </row>
    <row r="4383" spans="1:4" x14ac:dyDescent="0.25">
      <c r="A4383" s="7" t="s">
        <v>10854</v>
      </c>
      <c r="B4383" s="8" t="s">
        <v>10855</v>
      </c>
      <c r="C4383" s="8" t="s">
        <v>2273</v>
      </c>
      <c r="D4383" s="8" t="str">
        <f>"9783030909987"</f>
        <v>9783030909987</v>
      </c>
    </row>
    <row r="4384" spans="1:4" ht="30" x14ac:dyDescent="0.25">
      <c r="A4384" s="7" t="s">
        <v>11336</v>
      </c>
      <c r="B4384" s="8" t="s">
        <v>11337</v>
      </c>
      <c r="C4384" s="8" t="s">
        <v>355</v>
      </c>
      <c r="D4384" s="8" t="str">
        <f>"9783110674255"</f>
        <v>9783110674255</v>
      </c>
    </row>
    <row r="4385" spans="1:4" x14ac:dyDescent="0.25">
      <c r="A4385" s="7" t="s">
        <v>13560</v>
      </c>
      <c r="B4385" s="8" t="s">
        <v>13561</v>
      </c>
      <c r="C4385" s="8" t="s">
        <v>5086</v>
      </c>
      <c r="D4385" s="8" t="str">
        <f>"9783658386597"</f>
        <v>9783658386597</v>
      </c>
    </row>
    <row r="4386" spans="1:4" ht="30" x14ac:dyDescent="0.25">
      <c r="A4386" s="7" t="s">
        <v>2840</v>
      </c>
      <c r="B4386" s="8" t="s">
        <v>2841</v>
      </c>
      <c r="C4386" s="8" t="s">
        <v>1865</v>
      </c>
      <c r="D4386" s="8" t="str">
        <f>"9789176856574"</f>
        <v>9789176856574</v>
      </c>
    </row>
    <row r="4387" spans="1:4" x14ac:dyDescent="0.25">
      <c r="A4387" s="7" t="s">
        <v>2357</v>
      </c>
      <c r="B4387" s="8" t="s">
        <v>2358</v>
      </c>
      <c r="C4387" s="8" t="s">
        <v>1345</v>
      </c>
      <c r="D4387" s="8" t="str">
        <f>"9783737600217"</f>
        <v>9783737600217</v>
      </c>
    </row>
    <row r="4388" spans="1:4" x14ac:dyDescent="0.25">
      <c r="A4388" s="7" t="s">
        <v>1308</v>
      </c>
      <c r="B4388" s="8" t="s">
        <v>1309</v>
      </c>
      <c r="C4388" s="8" t="s">
        <v>1224</v>
      </c>
      <c r="D4388" s="8" t="str">
        <f>"9781618117021"</f>
        <v>9781618117021</v>
      </c>
    </row>
    <row r="4389" spans="1:4" ht="30" x14ac:dyDescent="0.25">
      <c r="A4389" s="7" t="s">
        <v>2180</v>
      </c>
      <c r="B4389" s="8" t="s">
        <v>2181</v>
      </c>
      <c r="C4389" s="8" t="s">
        <v>329</v>
      </c>
      <c r="D4389" s="8" t="str">
        <f>"9789048517800"</f>
        <v>9789048517800</v>
      </c>
    </row>
    <row r="4390" spans="1:4" x14ac:dyDescent="0.25">
      <c r="A4390" s="7" t="s">
        <v>11394</v>
      </c>
      <c r="B4390" s="8" t="s">
        <v>11395</v>
      </c>
      <c r="C4390" s="8" t="s">
        <v>355</v>
      </c>
      <c r="D4390" s="8" t="str">
        <f>"9783110601558"</f>
        <v>9783110601558</v>
      </c>
    </row>
    <row r="4391" spans="1:4" x14ac:dyDescent="0.25">
      <c r="A4391" s="7" t="s">
        <v>11025</v>
      </c>
      <c r="B4391" s="8" t="s">
        <v>11026</v>
      </c>
      <c r="C4391" s="8" t="s">
        <v>2273</v>
      </c>
      <c r="D4391" s="8" t="str">
        <f>"9783030964542"</f>
        <v>9783030964542</v>
      </c>
    </row>
    <row r="4392" spans="1:4" x14ac:dyDescent="0.25">
      <c r="A4392" s="7" t="s">
        <v>7497</v>
      </c>
      <c r="B4392" s="8" t="s">
        <v>7498</v>
      </c>
      <c r="C4392" s="8" t="s">
        <v>993</v>
      </c>
      <c r="D4392" s="8" t="str">
        <f>"9783839433584"</f>
        <v>9783839433584</v>
      </c>
    </row>
    <row r="4393" spans="1:4" x14ac:dyDescent="0.25">
      <c r="A4393" s="7" t="s">
        <v>11649</v>
      </c>
      <c r="B4393" s="8" t="s">
        <v>11650</v>
      </c>
      <c r="C4393" s="8" t="s">
        <v>355</v>
      </c>
      <c r="D4393" s="8" t="str">
        <f>"9783110617580"</f>
        <v>9783110617580</v>
      </c>
    </row>
    <row r="4394" spans="1:4" x14ac:dyDescent="0.25">
      <c r="A4394" s="7" t="s">
        <v>1832</v>
      </c>
      <c r="B4394" s="8" t="s">
        <v>1833</v>
      </c>
      <c r="C4394" s="8" t="s">
        <v>1345</v>
      </c>
      <c r="D4394" s="8" t="str">
        <f>"9783862193592"</f>
        <v>9783862193592</v>
      </c>
    </row>
    <row r="4395" spans="1:4" ht="45" x14ac:dyDescent="0.25">
      <c r="A4395" s="7" t="s">
        <v>4651</v>
      </c>
      <c r="B4395" s="8" t="s">
        <v>4652</v>
      </c>
      <c r="C4395" s="8" t="s">
        <v>1345</v>
      </c>
      <c r="D4395" s="8" t="str">
        <f>"9783737607575"</f>
        <v>9783737607575</v>
      </c>
    </row>
    <row r="4396" spans="1:4" x14ac:dyDescent="0.25">
      <c r="A4396" s="7" t="s">
        <v>11386</v>
      </c>
      <c r="B4396" s="8" t="s">
        <v>11387</v>
      </c>
      <c r="C4396" s="8" t="s">
        <v>316</v>
      </c>
      <c r="D4396" s="8" t="str">
        <f>"9781501511561"</f>
        <v>9781501511561</v>
      </c>
    </row>
    <row r="4397" spans="1:4" ht="30" x14ac:dyDescent="0.25">
      <c r="A4397" s="7" t="s">
        <v>1234</v>
      </c>
      <c r="B4397" s="8" t="s">
        <v>1235</v>
      </c>
      <c r="C4397" s="8" t="s">
        <v>1224</v>
      </c>
      <c r="D4397" s="8" t="str">
        <f>"9781618116734"</f>
        <v>9781618116734</v>
      </c>
    </row>
    <row r="4398" spans="1:4" x14ac:dyDescent="0.25">
      <c r="A4398" s="7" t="s">
        <v>3259</v>
      </c>
      <c r="B4398" s="8" t="s">
        <v>3260</v>
      </c>
      <c r="C4398" s="8" t="s">
        <v>1036</v>
      </c>
      <c r="D4398" s="8" t="str">
        <f>"9789027265807"</f>
        <v>9789027265807</v>
      </c>
    </row>
    <row r="4399" spans="1:4" x14ac:dyDescent="0.25">
      <c r="A4399" s="7" t="s">
        <v>3448</v>
      </c>
      <c r="B4399" s="8" t="s">
        <v>3449</v>
      </c>
      <c r="C4399" s="8" t="s">
        <v>1036</v>
      </c>
      <c r="D4399" s="8" t="str">
        <f>"9789027264640"</f>
        <v>9789027264640</v>
      </c>
    </row>
    <row r="4400" spans="1:4" x14ac:dyDescent="0.25">
      <c r="A4400" s="7" t="s">
        <v>1074</v>
      </c>
      <c r="B4400" s="8" t="s">
        <v>1075</v>
      </c>
      <c r="C4400" s="8" t="s">
        <v>316</v>
      </c>
      <c r="D4400" s="8" t="str">
        <f>"9783110896589"</f>
        <v>9783110896589</v>
      </c>
    </row>
    <row r="4401" spans="1:4" x14ac:dyDescent="0.25">
      <c r="A4401" s="7" t="s">
        <v>3044</v>
      </c>
      <c r="B4401" s="8" t="s">
        <v>3045</v>
      </c>
      <c r="C4401" s="8" t="s">
        <v>355</v>
      </c>
      <c r="D4401" s="8" t="str">
        <f>"9783110472059"</f>
        <v>9783110472059</v>
      </c>
    </row>
    <row r="4402" spans="1:4" x14ac:dyDescent="0.25">
      <c r="A4402" s="7" t="s">
        <v>967</v>
      </c>
      <c r="B4402" s="8" t="s">
        <v>16</v>
      </c>
      <c r="C4402" s="8" t="s">
        <v>355</v>
      </c>
      <c r="D4402" s="8" t="str">
        <f>"9783110422504"</f>
        <v>9783110422504</v>
      </c>
    </row>
    <row r="4403" spans="1:4" ht="30" x14ac:dyDescent="0.25">
      <c r="A4403" s="7" t="s">
        <v>5504</v>
      </c>
      <c r="B4403" s="8" t="s">
        <v>5505</v>
      </c>
      <c r="C4403" s="8" t="s">
        <v>1036</v>
      </c>
      <c r="D4403" s="8" t="str">
        <f>"9789027262769"</f>
        <v>9789027262769</v>
      </c>
    </row>
    <row r="4404" spans="1:4" ht="45" x14ac:dyDescent="0.25">
      <c r="A4404" s="7" t="s">
        <v>6949</v>
      </c>
      <c r="B4404" s="8" t="s">
        <v>6950</v>
      </c>
      <c r="C4404" s="8" t="s">
        <v>1036</v>
      </c>
      <c r="D4404" s="8" t="str">
        <f>"9789027259820"</f>
        <v>9789027259820</v>
      </c>
    </row>
    <row r="4405" spans="1:4" x14ac:dyDescent="0.25">
      <c r="A4405" s="7" t="s">
        <v>10942</v>
      </c>
      <c r="B4405" s="8" t="s">
        <v>10943</v>
      </c>
      <c r="C4405" s="8" t="s">
        <v>9138</v>
      </c>
      <c r="D4405" s="8" t="str">
        <f>"9780520381728"</f>
        <v>9780520381728</v>
      </c>
    </row>
    <row r="4406" spans="1:4" x14ac:dyDescent="0.25">
      <c r="A4406" s="7" t="s">
        <v>470</v>
      </c>
      <c r="B4406" s="8" t="s">
        <v>471</v>
      </c>
      <c r="C4406" s="8" t="s">
        <v>355</v>
      </c>
      <c r="D4406" s="8" t="str">
        <f>"9783110255065"</f>
        <v>9783110255065</v>
      </c>
    </row>
    <row r="4407" spans="1:4" ht="30" x14ac:dyDescent="0.25">
      <c r="A4407" s="7" t="s">
        <v>4222</v>
      </c>
      <c r="B4407" s="8" t="s">
        <v>4223</v>
      </c>
      <c r="C4407" s="8" t="s">
        <v>1865</v>
      </c>
      <c r="D4407" s="8" t="str">
        <f>"9789176851791"</f>
        <v>9789176851791</v>
      </c>
    </row>
    <row r="4408" spans="1:4" x14ac:dyDescent="0.25">
      <c r="A4408" s="7" t="s">
        <v>15047</v>
      </c>
      <c r="B4408" s="8" t="s">
        <v>15048</v>
      </c>
      <c r="C4408" s="8" t="s">
        <v>1865</v>
      </c>
      <c r="D4408" s="8" t="str">
        <f>"9789175191577"</f>
        <v>9789175191577</v>
      </c>
    </row>
    <row r="4409" spans="1:4" ht="30" x14ac:dyDescent="0.25">
      <c r="A4409" s="7" t="s">
        <v>15491</v>
      </c>
      <c r="B4409" s="8" t="s">
        <v>7377</v>
      </c>
      <c r="C4409" s="8" t="s">
        <v>1865</v>
      </c>
      <c r="D4409" s="8" t="str">
        <f>"9789176858271"</f>
        <v>9789176858271</v>
      </c>
    </row>
    <row r="4410" spans="1:4" x14ac:dyDescent="0.25">
      <c r="A4410" s="7" t="s">
        <v>15465</v>
      </c>
      <c r="B4410" s="8" t="s">
        <v>15466</v>
      </c>
      <c r="C4410" s="8" t="s">
        <v>1865</v>
      </c>
      <c r="D4410" s="8" t="str">
        <f>"9789175196114"</f>
        <v>9789175196114</v>
      </c>
    </row>
    <row r="4411" spans="1:4" ht="30" x14ac:dyDescent="0.25">
      <c r="A4411" s="7" t="s">
        <v>14703</v>
      </c>
      <c r="B4411" s="8" t="s">
        <v>14704</v>
      </c>
      <c r="C4411" s="8" t="s">
        <v>1865</v>
      </c>
      <c r="D4411" s="8" t="str">
        <f>"9789179294076"</f>
        <v>9789179294076</v>
      </c>
    </row>
    <row r="4412" spans="1:4" x14ac:dyDescent="0.25">
      <c r="A4412" s="7" t="s">
        <v>14685</v>
      </c>
      <c r="B4412" s="8" t="s">
        <v>14686</v>
      </c>
      <c r="C4412" s="8" t="s">
        <v>1865</v>
      </c>
      <c r="D4412" s="8" t="str">
        <f>"9789179296186"</f>
        <v>9789179296186</v>
      </c>
    </row>
    <row r="4413" spans="1:4" ht="30" x14ac:dyDescent="0.25">
      <c r="A4413" s="7" t="s">
        <v>1359</v>
      </c>
      <c r="B4413" s="8" t="s">
        <v>1360</v>
      </c>
      <c r="C4413" s="8" t="s">
        <v>1345</v>
      </c>
      <c r="D4413" s="8" t="str">
        <f>""</f>
        <v/>
      </c>
    </row>
    <row r="4414" spans="1:4" x14ac:dyDescent="0.25">
      <c r="A4414" s="7" t="s">
        <v>5244</v>
      </c>
      <c r="B4414" s="8" t="s">
        <v>5245</v>
      </c>
      <c r="C4414" s="8" t="s">
        <v>1865</v>
      </c>
      <c r="D4414" s="8" t="str">
        <f>"9789179297817"</f>
        <v>9789179297817</v>
      </c>
    </row>
    <row r="4415" spans="1:4" ht="30" x14ac:dyDescent="0.25">
      <c r="A4415" s="7" t="s">
        <v>10226</v>
      </c>
      <c r="B4415" s="8" t="s">
        <v>10227</v>
      </c>
      <c r="C4415" s="8" t="s">
        <v>993</v>
      </c>
      <c r="D4415" s="8" t="str">
        <f>"9783839445266"</f>
        <v>9783839445266</v>
      </c>
    </row>
    <row r="4416" spans="1:4" ht="30" x14ac:dyDescent="0.25">
      <c r="A4416" s="7" t="s">
        <v>15678</v>
      </c>
      <c r="B4416" s="8" t="s">
        <v>15679</v>
      </c>
      <c r="C4416" s="8" t="s">
        <v>1865</v>
      </c>
      <c r="D4416" s="8" t="str">
        <f>"9789176859643"</f>
        <v>9789176859643</v>
      </c>
    </row>
    <row r="4417" spans="1:4" x14ac:dyDescent="0.25">
      <c r="A4417" s="7" t="s">
        <v>12672</v>
      </c>
      <c r="B4417" s="8" t="s">
        <v>12673</v>
      </c>
      <c r="C4417" s="8" t="s">
        <v>355</v>
      </c>
      <c r="D4417" s="8" t="str">
        <f>"9783110794113"</f>
        <v>9783110794113</v>
      </c>
    </row>
    <row r="4418" spans="1:4" x14ac:dyDescent="0.25">
      <c r="A4418" s="7" t="s">
        <v>4900</v>
      </c>
      <c r="B4418" s="8" t="s">
        <v>4901</v>
      </c>
      <c r="C4418" s="8" t="s">
        <v>1865</v>
      </c>
      <c r="D4418" s="8" t="str">
        <f>"9789179298722"</f>
        <v>9789179298722</v>
      </c>
    </row>
    <row r="4419" spans="1:4" ht="30" x14ac:dyDescent="0.25">
      <c r="A4419" s="7" t="s">
        <v>2190</v>
      </c>
      <c r="B4419" s="8" t="s">
        <v>2191</v>
      </c>
      <c r="C4419" s="8" t="s">
        <v>329</v>
      </c>
      <c r="D4419" s="8" t="str">
        <f>"9789048523658"</f>
        <v>9789048523658</v>
      </c>
    </row>
    <row r="4420" spans="1:4" x14ac:dyDescent="0.25">
      <c r="A4420" s="7" t="s">
        <v>11969</v>
      </c>
      <c r="B4420" s="8" t="s">
        <v>11970</v>
      </c>
      <c r="C4420" s="8" t="s">
        <v>355</v>
      </c>
      <c r="D4420" s="8" t="str">
        <f>"9783486754360"</f>
        <v>9783486754360</v>
      </c>
    </row>
    <row r="4421" spans="1:4" x14ac:dyDescent="0.25">
      <c r="A4421" s="7" t="s">
        <v>14647</v>
      </c>
      <c r="B4421" s="8" t="s">
        <v>14648</v>
      </c>
      <c r="C4421" s="8" t="s">
        <v>1865</v>
      </c>
      <c r="D4421" s="8" t="str">
        <f>"9789179299040"</f>
        <v>9789179299040</v>
      </c>
    </row>
    <row r="4422" spans="1:4" x14ac:dyDescent="0.25">
      <c r="A4422" s="7" t="s">
        <v>11511</v>
      </c>
      <c r="B4422" s="8" t="s">
        <v>6997</v>
      </c>
      <c r="C4422" s="8" t="s">
        <v>355</v>
      </c>
      <c r="D4422" s="8" t="str">
        <f>"9783110745832"</f>
        <v>9783110745832</v>
      </c>
    </row>
    <row r="4423" spans="1:4" x14ac:dyDescent="0.25">
      <c r="A4423" s="7" t="s">
        <v>4563</v>
      </c>
      <c r="B4423" s="8" t="s">
        <v>4564</v>
      </c>
      <c r="C4423" s="8" t="s">
        <v>562</v>
      </c>
      <c r="D4423" s="8" t="str">
        <f>"9781478005292"</f>
        <v>9781478005292</v>
      </c>
    </row>
    <row r="4424" spans="1:4" x14ac:dyDescent="0.25">
      <c r="A4424" s="7" t="s">
        <v>5520</v>
      </c>
      <c r="B4424" s="8" t="s">
        <v>5521</v>
      </c>
      <c r="C4424" s="8" t="s">
        <v>1865</v>
      </c>
      <c r="D4424" s="8" t="str">
        <f>"9789179297596"</f>
        <v>9789179297596</v>
      </c>
    </row>
    <row r="4425" spans="1:4" x14ac:dyDescent="0.25">
      <c r="A4425" s="7" t="s">
        <v>11083</v>
      </c>
      <c r="B4425" s="8" t="s">
        <v>11084</v>
      </c>
      <c r="C4425" s="8" t="s">
        <v>6704</v>
      </c>
      <c r="D4425" s="8" t="str">
        <f>"9780472901944"</f>
        <v>9780472901944</v>
      </c>
    </row>
    <row r="4426" spans="1:4" x14ac:dyDescent="0.25">
      <c r="A4426" s="7" t="s">
        <v>11059</v>
      </c>
      <c r="B4426" s="8" t="s">
        <v>11060</v>
      </c>
      <c r="C4426" s="8" t="s">
        <v>2082</v>
      </c>
      <c r="D4426" s="8" t="str">
        <f>"9780472900022"</f>
        <v>9780472900022</v>
      </c>
    </row>
    <row r="4427" spans="1:4" x14ac:dyDescent="0.25">
      <c r="A4427" s="7" t="s">
        <v>7933</v>
      </c>
      <c r="B4427" s="8" t="s">
        <v>7934</v>
      </c>
      <c r="C4427" s="8" t="s">
        <v>1962</v>
      </c>
      <c r="D4427" s="8" t="str">
        <f>"9782759226818"</f>
        <v>9782759226818</v>
      </c>
    </row>
    <row r="4428" spans="1:4" x14ac:dyDescent="0.25">
      <c r="A4428" s="7" t="s">
        <v>10832</v>
      </c>
      <c r="B4428" s="8" t="s">
        <v>7847</v>
      </c>
      <c r="C4428" s="8" t="s">
        <v>1962</v>
      </c>
      <c r="D4428" s="8" t="str">
        <f>"9782759234615"</f>
        <v>9782759234615</v>
      </c>
    </row>
    <row r="4429" spans="1:4" x14ac:dyDescent="0.25">
      <c r="A4429" s="7" t="s">
        <v>7932</v>
      </c>
      <c r="B4429" s="8" t="s">
        <v>7847</v>
      </c>
      <c r="C4429" s="8" t="s">
        <v>1962</v>
      </c>
      <c r="D4429" s="8" t="str">
        <f>"9782759232499"</f>
        <v>9782759232499</v>
      </c>
    </row>
    <row r="4430" spans="1:4" x14ac:dyDescent="0.25">
      <c r="A4430" s="7" t="s">
        <v>7846</v>
      </c>
      <c r="B4430" s="8" t="s">
        <v>7847</v>
      </c>
      <c r="C4430" s="8" t="s">
        <v>1962</v>
      </c>
      <c r="D4430" s="8" t="str">
        <f>"9782759233274"</f>
        <v>9782759233274</v>
      </c>
    </row>
    <row r="4431" spans="1:4" x14ac:dyDescent="0.25">
      <c r="A4431" s="7" t="s">
        <v>2654</v>
      </c>
      <c r="B4431" s="8" t="s">
        <v>2655</v>
      </c>
      <c r="C4431" s="8" t="s">
        <v>1962</v>
      </c>
      <c r="D4431" s="8" t="str">
        <f>"9782759223800"</f>
        <v>9782759223800</v>
      </c>
    </row>
    <row r="4432" spans="1:4" ht="30" x14ac:dyDescent="0.25">
      <c r="A4432" s="7" t="s">
        <v>1969</v>
      </c>
      <c r="B4432" s="8" t="s">
        <v>1970</v>
      </c>
      <c r="C4432" s="8" t="s">
        <v>1962</v>
      </c>
      <c r="D4432" s="8" t="str">
        <f>"9782759207244"</f>
        <v>9782759207244</v>
      </c>
    </row>
    <row r="4433" spans="1:4" ht="30" x14ac:dyDescent="0.25">
      <c r="A4433" s="7" t="s">
        <v>3885</v>
      </c>
      <c r="B4433" s="8" t="s">
        <v>3886</v>
      </c>
      <c r="C4433" s="8" t="s">
        <v>355</v>
      </c>
      <c r="D4433" s="8" t="str">
        <f>"9783486835441"</f>
        <v>9783486835441</v>
      </c>
    </row>
    <row r="4434" spans="1:4" x14ac:dyDescent="0.25">
      <c r="A4434" s="7" t="s">
        <v>1966</v>
      </c>
      <c r="B4434" s="8" t="s">
        <v>42</v>
      </c>
      <c r="C4434" s="8" t="s">
        <v>1962</v>
      </c>
      <c r="D4434" s="8" t="str">
        <f>"9782759210404"</f>
        <v>9782759210404</v>
      </c>
    </row>
    <row r="4435" spans="1:4" x14ac:dyDescent="0.25">
      <c r="A4435" s="7" t="s">
        <v>2033</v>
      </c>
      <c r="B4435" s="8" t="s">
        <v>2034</v>
      </c>
      <c r="C4435" s="8" t="s">
        <v>1962</v>
      </c>
      <c r="D4435" s="8" t="str">
        <f>"9782759203123"</f>
        <v>9782759203123</v>
      </c>
    </row>
    <row r="4436" spans="1:4" x14ac:dyDescent="0.25">
      <c r="A4436" s="7" t="s">
        <v>5045</v>
      </c>
      <c r="B4436" s="8" t="s">
        <v>5046</v>
      </c>
      <c r="C4436" s="8" t="s">
        <v>355</v>
      </c>
      <c r="D4436" s="8" t="str">
        <f>"9783110590661"</f>
        <v>9783110590661</v>
      </c>
    </row>
    <row r="4437" spans="1:4" x14ac:dyDescent="0.25">
      <c r="A4437" s="7" t="s">
        <v>7964</v>
      </c>
      <c r="B4437" s="8" t="s">
        <v>7965</v>
      </c>
      <c r="C4437" s="8" t="s">
        <v>1962</v>
      </c>
      <c r="D4437" s="8" t="str">
        <f>"9782759227099"</f>
        <v>9782759227099</v>
      </c>
    </row>
    <row r="4438" spans="1:4" x14ac:dyDescent="0.25">
      <c r="A4438" s="7" t="s">
        <v>2060</v>
      </c>
      <c r="B4438" s="8" t="s">
        <v>2061</v>
      </c>
      <c r="C4438" s="8" t="s">
        <v>1962</v>
      </c>
      <c r="D4438" s="8" t="str">
        <f>"9782759219872"</f>
        <v>9782759219872</v>
      </c>
    </row>
    <row r="4439" spans="1:4" x14ac:dyDescent="0.25">
      <c r="A4439" s="7" t="s">
        <v>2001</v>
      </c>
      <c r="B4439" s="8" t="s">
        <v>2002</v>
      </c>
      <c r="C4439" s="8" t="s">
        <v>1962</v>
      </c>
      <c r="D4439" s="8" t="str">
        <f>"9782759207039"</f>
        <v>9782759207039</v>
      </c>
    </row>
    <row r="4440" spans="1:4" x14ac:dyDescent="0.25">
      <c r="A4440" s="7" t="s">
        <v>2043</v>
      </c>
      <c r="B4440" s="8" t="s">
        <v>2044</v>
      </c>
      <c r="C4440" s="8" t="s">
        <v>1962</v>
      </c>
      <c r="D4440" s="8" t="str">
        <f>"9782759203420"</f>
        <v>9782759203420</v>
      </c>
    </row>
    <row r="4441" spans="1:4" x14ac:dyDescent="0.25">
      <c r="A4441" s="7" t="s">
        <v>2062</v>
      </c>
      <c r="B4441" s="8" t="s">
        <v>2063</v>
      </c>
      <c r="C4441" s="8" t="s">
        <v>1962</v>
      </c>
      <c r="D4441" s="8" t="str">
        <f>"9782759220625"</f>
        <v>9782759220625</v>
      </c>
    </row>
    <row r="4442" spans="1:4" x14ac:dyDescent="0.25">
      <c r="A4442" s="7" t="s">
        <v>2058</v>
      </c>
      <c r="B4442" s="8" t="s">
        <v>2059</v>
      </c>
      <c r="C4442" s="8" t="s">
        <v>1962</v>
      </c>
      <c r="D4442" s="8" t="str">
        <f>"9782759219698"</f>
        <v>9782759219698</v>
      </c>
    </row>
    <row r="4443" spans="1:4" ht="30" x14ac:dyDescent="0.25">
      <c r="A4443" s="7" t="s">
        <v>9345</v>
      </c>
      <c r="B4443" s="8" t="s">
        <v>140</v>
      </c>
      <c r="C4443" s="8" t="s">
        <v>9256</v>
      </c>
      <c r="D4443" s="8" t="str">
        <f>"9788021095915"</f>
        <v>9788021095915</v>
      </c>
    </row>
    <row r="4444" spans="1:4" x14ac:dyDescent="0.25">
      <c r="A4444" s="7" t="s">
        <v>15419</v>
      </c>
      <c r="B4444" s="8" t="s">
        <v>15420</v>
      </c>
      <c r="C4444" s="8" t="s">
        <v>1865</v>
      </c>
      <c r="D4444" s="8" t="str">
        <f>"9789175192291"</f>
        <v>9789175192291</v>
      </c>
    </row>
    <row r="4445" spans="1:4" x14ac:dyDescent="0.25">
      <c r="A4445" s="7" t="s">
        <v>3725</v>
      </c>
      <c r="B4445" s="8" t="s">
        <v>3726</v>
      </c>
      <c r="C4445" s="8" t="s">
        <v>1865</v>
      </c>
      <c r="D4445" s="8" t="str">
        <f>"9789176853030"</f>
        <v>9789176853030</v>
      </c>
    </row>
    <row r="4446" spans="1:4" x14ac:dyDescent="0.25">
      <c r="A4446" s="7" t="s">
        <v>6082</v>
      </c>
      <c r="B4446" s="8" t="s">
        <v>6083</v>
      </c>
      <c r="C4446" s="8" t="s">
        <v>5484</v>
      </c>
      <c r="D4446" s="8" t="str">
        <f>"9781430261582"</f>
        <v>9781430261582</v>
      </c>
    </row>
    <row r="4447" spans="1:4" ht="30" x14ac:dyDescent="0.25">
      <c r="A4447" s="7" t="s">
        <v>15444</v>
      </c>
      <c r="B4447" s="8" t="s">
        <v>15445</v>
      </c>
      <c r="C4447" s="8" t="s">
        <v>1865</v>
      </c>
      <c r="D4447" s="8" t="str">
        <f>"9789175193878"</f>
        <v>9789175193878</v>
      </c>
    </row>
    <row r="4448" spans="1:4" x14ac:dyDescent="0.25">
      <c r="A4448" s="7" t="s">
        <v>11687</v>
      </c>
      <c r="B4448" s="8" t="s">
        <v>11688</v>
      </c>
      <c r="C4448" s="8" t="s">
        <v>355</v>
      </c>
      <c r="D4448" s="8" t="str">
        <f>"9783110733549"</f>
        <v>9783110733549</v>
      </c>
    </row>
    <row r="4449" spans="1:4" x14ac:dyDescent="0.25">
      <c r="A4449" s="7" t="s">
        <v>11144</v>
      </c>
      <c r="B4449" s="8" t="s">
        <v>11145</v>
      </c>
      <c r="C4449" s="8" t="s">
        <v>355</v>
      </c>
      <c r="D4449" s="8" t="str">
        <f>"9788366675643"</f>
        <v>9788366675643</v>
      </c>
    </row>
    <row r="4450" spans="1:4" ht="30" x14ac:dyDescent="0.25">
      <c r="A4450" s="7" t="s">
        <v>2805</v>
      </c>
      <c r="B4450" s="8" t="s">
        <v>2806</v>
      </c>
      <c r="C4450" s="8" t="s">
        <v>1865</v>
      </c>
      <c r="D4450" s="8" t="str">
        <f>"9789176857144"</f>
        <v>9789176857144</v>
      </c>
    </row>
    <row r="4451" spans="1:4" x14ac:dyDescent="0.25">
      <c r="A4451" s="7" t="s">
        <v>15135</v>
      </c>
      <c r="B4451" s="8" t="s">
        <v>15136</v>
      </c>
      <c r="C4451" s="8" t="s">
        <v>1865</v>
      </c>
      <c r="D4451" s="8" t="str">
        <f>"9789176857991"</f>
        <v>9789176857991</v>
      </c>
    </row>
    <row r="4452" spans="1:4" x14ac:dyDescent="0.25">
      <c r="A4452" s="7" t="s">
        <v>3688</v>
      </c>
      <c r="B4452" s="8" t="s">
        <v>3689</v>
      </c>
      <c r="C4452" s="8" t="s">
        <v>1865</v>
      </c>
      <c r="D4452" s="8" t="str">
        <f>"9789176853320"</f>
        <v>9789176853320</v>
      </c>
    </row>
    <row r="4453" spans="1:4" ht="30" x14ac:dyDescent="0.25">
      <c r="A4453" s="7" t="s">
        <v>8642</v>
      </c>
      <c r="B4453" s="8" t="s">
        <v>8643</v>
      </c>
      <c r="C4453" s="8" t="s">
        <v>2273</v>
      </c>
      <c r="D4453" s="8" t="str">
        <f>"9783030892364"</f>
        <v>9783030892364</v>
      </c>
    </row>
    <row r="4454" spans="1:4" x14ac:dyDescent="0.25">
      <c r="A4454" s="7" t="s">
        <v>10807</v>
      </c>
      <c r="B4454" s="8" t="s">
        <v>10808</v>
      </c>
      <c r="C4454" s="8" t="s">
        <v>1876</v>
      </c>
      <c r="D4454" s="8" t="str">
        <f>"9781925495973"</f>
        <v>9781925495973</v>
      </c>
    </row>
    <row r="4455" spans="1:4" ht="30" x14ac:dyDescent="0.25">
      <c r="A4455" s="7" t="s">
        <v>4325</v>
      </c>
      <c r="B4455" s="8" t="s">
        <v>4326</v>
      </c>
      <c r="C4455" s="8" t="s">
        <v>1865</v>
      </c>
      <c r="D4455" s="8" t="str">
        <f>"9789176851241"</f>
        <v>9789176851241</v>
      </c>
    </row>
    <row r="4456" spans="1:4" ht="30" x14ac:dyDescent="0.25">
      <c r="A4456" s="7" t="s">
        <v>6436</v>
      </c>
      <c r="B4456" s="8" t="s">
        <v>6437</v>
      </c>
      <c r="C4456" s="8" t="s">
        <v>1865</v>
      </c>
      <c r="D4456" s="8" t="str">
        <f>"9789179297787"</f>
        <v>9789179297787</v>
      </c>
    </row>
    <row r="4457" spans="1:4" x14ac:dyDescent="0.25">
      <c r="A4457" s="7" t="s">
        <v>14488</v>
      </c>
      <c r="B4457" s="8" t="s">
        <v>14489</v>
      </c>
      <c r="C4457" s="8" t="s">
        <v>1865</v>
      </c>
      <c r="D4457" s="8" t="str">
        <f>"9789179297220"</f>
        <v>9789179297220</v>
      </c>
    </row>
    <row r="4458" spans="1:4" x14ac:dyDescent="0.25">
      <c r="A4458" s="7" t="s">
        <v>4577</v>
      </c>
      <c r="B4458" s="8" t="s">
        <v>4578</v>
      </c>
      <c r="C4458" s="8" t="s">
        <v>1865</v>
      </c>
      <c r="D4458" s="8" t="str">
        <f>"9789175190143"</f>
        <v>9789175190143</v>
      </c>
    </row>
    <row r="4459" spans="1:4" x14ac:dyDescent="0.25">
      <c r="A4459" s="7" t="s">
        <v>15874</v>
      </c>
      <c r="B4459" s="8" t="s">
        <v>15875</v>
      </c>
      <c r="C4459" s="8" t="s">
        <v>1865</v>
      </c>
      <c r="D4459" s="8" t="str">
        <f>"9789175199856"</f>
        <v>9789175199856</v>
      </c>
    </row>
    <row r="4460" spans="1:4" ht="30" x14ac:dyDescent="0.25">
      <c r="A4460" s="7" t="s">
        <v>14938</v>
      </c>
      <c r="B4460" s="8" t="s">
        <v>14939</v>
      </c>
      <c r="C4460" s="8" t="s">
        <v>1865</v>
      </c>
      <c r="D4460" s="8" t="str">
        <f>"9789175197593"</f>
        <v>9789175197593</v>
      </c>
    </row>
    <row r="4461" spans="1:4" x14ac:dyDescent="0.25">
      <c r="A4461" s="7" t="s">
        <v>7382</v>
      </c>
      <c r="B4461" s="8" t="s">
        <v>7383</v>
      </c>
      <c r="C4461" s="8" t="s">
        <v>1865</v>
      </c>
      <c r="D4461" s="8" t="str">
        <f>"9789179296230"</f>
        <v>9789179296230</v>
      </c>
    </row>
    <row r="4462" spans="1:4" x14ac:dyDescent="0.25">
      <c r="A4462" s="7" t="s">
        <v>4742</v>
      </c>
      <c r="B4462" s="8" t="s">
        <v>4743</v>
      </c>
      <c r="C4462" s="8" t="s">
        <v>1865</v>
      </c>
      <c r="D4462" s="8" t="str">
        <f>"9789179299811"</f>
        <v>9789179299811</v>
      </c>
    </row>
    <row r="4463" spans="1:4" ht="30" x14ac:dyDescent="0.25">
      <c r="A4463" s="7" t="s">
        <v>15866</v>
      </c>
      <c r="B4463" s="8" t="s">
        <v>15867</v>
      </c>
      <c r="C4463" s="8" t="s">
        <v>1865</v>
      </c>
      <c r="D4463" s="8" t="str">
        <f>"9789185895014"</f>
        <v>9789185895014</v>
      </c>
    </row>
    <row r="4464" spans="1:4" ht="30" x14ac:dyDescent="0.25">
      <c r="A4464" s="7" t="s">
        <v>9090</v>
      </c>
      <c r="B4464" s="8" t="s">
        <v>9091</v>
      </c>
      <c r="C4464" s="8" t="s">
        <v>2273</v>
      </c>
      <c r="D4464" s="8" t="str">
        <f>"9783030891473"</f>
        <v>9783030891473</v>
      </c>
    </row>
    <row r="4465" spans="1:4" x14ac:dyDescent="0.25">
      <c r="A4465" s="7" t="s">
        <v>4923</v>
      </c>
      <c r="B4465" s="8" t="s">
        <v>4924</v>
      </c>
      <c r="C4465" s="8" t="s">
        <v>1865</v>
      </c>
      <c r="D4465" s="8" t="str">
        <f>"9789179298890"</f>
        <v>9789179298890</v>
      </c>
    </row>
    <row r="4466" spans="1:4" x14ac:dyDescent="0.25">
      <c r="A4466" s="7" t="s">
        <v>2668</v>
      </c>
      <c r="B4466" s="8" t="s">
        <v>2669</v>
      </c>
      <c r="C4466" s="8" t="s">
        <v>1224</v>
      </c>
      <c r="D4466" s="8" t="str">
        <f>"9781618115140"</f>
        <v>9781618115140</v>
      </c>
    </row>
    <row r="4467" spans="1:4" x14ac:dyDescent="0.25">
      <c r="A4467" s="7" t="s">
        <v>6874</v>
      </c>
      <c r="B4467" s="8" t="s">
        <v>6875</v>
      </c>
      <c r="C4467" s="8" t="s">
        <v>1865</v>
      </c>
      <c r="D4467" s="8" t="str">
        <f>"9789179296711"</f>
        <v>9789179296711</v>
      </c>
    </row>
    <row r="4468" spans="1:4" x14ac:dyDescent="0.25">
      <c r="A4468" s="7" t="s">
        <v>9168</v>
      </c>
      <c r="B4468" s="8" t="s">
        <v>9169</v>
      </c>
      <c r="C4468" s="8" t="s">
        <v>1879</v>
      </c>
      <c r="D4468" s="8" t="str">
        <f>"9781800642027"</f>
        <v>9781800642027</v>
      </c>
    </row>
    <row r="4469" spans="1:4" x14ac:dyDescent="0.25">
      <c r="A4469" s="7" t="s">
        <v>10687</v>
      </c>
      <c r="B4469" s="8" t="s">
        <v>10688</v>
      </c>
      <c r="C4469" s="8" t="s">
        <v>2273</v>
      </c>
      <c r="D4469" s="8" t="str">
        <f>"9783030948825"</f>
        <v>9783030948825</v>
      </c>
    </row>
    <row r="4470" spans="1:4" x14ac:dyDescent="0.25">
      <c r="A4470" s="7" t="s">
        <v>10045</v>
      </c>
      <c r="B4470" s="8" t="s">
        <v>10046</v>
      </c>
      <c r="C4470" s="8" t="s">
        <v>993</v>
      </c>
      <c r="D4470" s="8" t="str">
        <f>"9783839411896"</f>
        <v>9783839411896</v>
      </c>
    </row>
    <row r="4471" spans="1:4" x14ac:dyDescent="0.25">
      <c r="A4471" s="7" t="s">
        <v>13733</v>
      </c>
      <c r="B4471" s="8" t="s">
        <v>13734</v>
      </c>
      <c r="C4471" s="8" t="s">
        <v>993</v>
      </c>
      <c r="D4471" s="8" t="str">
        <f>"9783839465226"</f>
        <v>9783839465226</v>
      </c>
    </row>
    <row r="4472" spans="1:4" ht="30" x14ac:dyDescent="0.25">
      <c r="A4472" s="7" t="s">
        <v>8372</v>
      </c>
      <c r="B4472" s="8" t="s">
        <v>8373</v>
      </c>
      <c r="C4472" s="8" t="s">
        <v>993</v>
      </c>
      <c r="D4472" s="8" t="str">
        <f>"9783839451328"</f>
        <v>9783839451328</v>
      </c>
    </row>
    <row r="4473" spans="1:4" ht="30" x14ac:dyDescent="0.25">
      <c r="A4473" s="7" t="s">
        <v>9714</v>
      </c>
      <c r="B4473" s="8" t="s">
        <v>9715</v>
      </c>
      <c r="C4473" s="8" t="s">
        <v>993</v>
      </c>
      <c r="D4473" s="8" t="str">
        <f>"9783839402481"</f>
        <v>9783839402481</v>
      </c>
    </row>
    <row r="4474" spans="1:4" ht="30" x14ac:dyDescent="0.25">
      <c r="A4474" s="7" t="s">
        <v>7724</v>
      </c>
      <c r="B4474" s="8" t="s">
        <v>7680</v>
      </c>
      <c r="C4474" s="8" t="s">
        <v>993</v>
      </c>
      <c r="D4474" s="8" t="str">
        <f>"9783839429273"</f>
        <v>9783839429273</v>
      </c>
    </row>
    <row r="4475" spans="1:4" ht="45" x14ac:dyDescent="0.25">
      <c r="A4475" s="7" t="s">
        <v>1625</v>
      </c>
      <c r="B4475" s="8" t="s">
        <v>1626</v>
      </c>
      <c r="C4475" s="8" t="s">
        <v>1345</v>
      </c>
      <c r="D4475" s="8" t="str">
        <f>"9783862191598"</f>
        <v>9783862191598</v>
      </c>
    </row>
    <row r="4476" spans="1:4" ht="30" x14ac:dyDescent="0.25">
      <c r="A4476" s="7" t="s">
        <v>7131</v>
      </c>
      <c r="B4476" s="8" t="s">
        <v>7132</v>
      </c>
      <c r="C4476" s="8" t="s">
        <v>329</v>
      </c>
      <c r="D4476" s="8" t="str">
        <f>"9789048544066"</f>
        <v>9789048544066</v>
      </c>
    </row>
    <row r="4477" spans="1:4" ht="30" x14ac:dyDescent="0.25">
      <c r="A4477" s="7" t="s">
        <v>13047</v>
      </c>
      <c r="B4477" s="8" t="s">
        <v>194</v>
      </c>
      <c r="C4477" s="8" t="s">
        <v>12712</v>
      </c>
      <c r="D4477" s="8" t="str">
        <f>"9783428554232"</f>
        <v>9783428554232</v>
      </c>
    </row>
    <row r="4478" spans="1:4" x14ac:dyDescent="0.25">
      <c r="A4478" s="7" t="s">
        <v>8359</v>
      </c>
      <c r="B4478" s="8" t="s">
        <v>8360</v>
      </c>
      <c r="C4478" s="8" t="s">
        <v>993</v>
      </c>
      <c r="D4478" s="8" t="str">
        <f>"9783839450215"</f>
        <v>9783839450215</v>
      </c>
    </row>
    <row r="4479" spans="1:4" ht="30" x14ac:dyDescent="0.25">
      <c r="A4479" s="7" t="s">
        <v>9580</v>
      </c>
      <c r="B4479" s="8" t="s">
        <v>9581</v>
      </c>
      <c r="C4479" s="8" t="s">
        <v>1865</v>
      </c>
      <c r="D4479" s="8" t="str">
        <f>"9789179291808"</f>
        <v>9789179291808</v>
      </c>
    </row>
    <row r="4480" spans="1:4" ht="30" x14ac:dyDescent="0.25">
      <c r="A4480" s="7" t="s">
        <v>10451</v>
      </c>
      <c r="B4480" s="8" t="s">
        <v>10452</v>
      </c>
      <c r="C4480" s="8" t="s">
        <v>993</v>
      </c>
      <c r="D4480" s="8" t="str">
        <f>"9783839456941"</f>
        <v>9783839456941</v>
      </c>
    </row>
    <row r="4481" spans="1:4" ht="30" x14ac:dyDescent="0.25">
      <c r="A4481" s="7" t="s">
        <v>7725</v>
      </c>
      <c r="B4481" s="8" t="s">
        <v>7726</v>
      </c>
      <c r="C4481" s="8" t="s">
        <v>993</v>
      </c>
      <c r="D4481" s="8" t="str">
        <f>"9783839431818"</f>
        <v>9783839431818</v>
      </c>
    </row>
    <row r="4482" spans="1:4" x14ac:dyDescent="0.25">
      <c r="A4482" s="7" t="s">
        <v>5362</v>
      </c>
      <c r="B4482" s="8" t="s">
        <v>5363</v>
      </c>
      <c r="C4482" s="8" t="s">
        <v>5358</v>
      </c>
      <c r="D4482" s="8" t="str">
        <f>"9781780646756"</f>
        <v>9781780646756</v>
      </c>
    </row>
    <row r="4483" spans="1:4" x14ac:dyDescent="0.25">
      <c r="A4483" s="7" t="s">
        <v>11579</v>
      </c>
      <c r="B4483" s="8" t="s">
        <v>11580</v>
      </c>
      <c r="C4483" s="8" t="s">
        <v>355</v>
      </c>
      <c r="D4483" s="8" t="str">
        <f>"9783111502731"</f>
        <v>9783111502731</v>
      </c>
    </row>
    <row r="4484" spans="1:4" ht="30" x14ac:dyDescent="0.25">
      <c r="A4484" s="7" t="s">
        <v>8130</v>
      </c>
      <c r="B4484" s="8" t="s">
        <v>8131</v>
      </c>
      <c r="C4484" s="8" t="s">
        <v>993</v>
      </c>
      <c r="D4484" s="8" t="str">
        <f>"9783839440926"</f>
        <v>9783839440926</v>
      </c>
    </row>
    <row r="4485" spans="1:4" ht="60" x14ac:dyDescent="0.25">
      <c r="A4485" s="7" t="s">
        <v>4597</v>
      </c>
      <c r="B4485" s="8" t="s">
        <v>4598</v>
      </c>
      <c r="C4485" s="8" t="s">
        <v>1345</v>
      </c>
      <c r="D4485" s="8" t="str">
        <f>"9783737607353"</f>
        <v>9783737607353</v>
      </c>
    </row>
    <row r="4486" spans="1:4" x14ac:dyDescent="0.25">
      <c r="A4486" s="7" t="s">
        <v>11438</v>
      </c>
      <c r="B4486" s="8" t="s">
        <v>11439</v>
      </c>
      <c r="C4486" s="8" t="s">
        <v>355</v>
      </c>
      <c r="D4486" s="8" t="str">
        <f>"9783486778342"</f>
        <v>9783486778342</v>
      </c>
    </row>
    <row r="4487" spans="1:4" x14ac:dyDescent="0.25">
      <c r="A4487" s="7" t="s">
        <v>11879</v>
      </c>
      <c r="B4487" s="8" t="s">
        <v>11880</v>
      </c>
      <c r="C4487" s="8" t="s">
        <v>355</v>
      </c>
      <c r="D4487" s="8" t="str">
        <f>"9783111506234"</f>
        <v>9783111506234</v>
      </c>
    </row>
    <row r="4488" spans="1:4" x14ac:dyDescent="0.25">
      <c r="A4488" s="7" t="s">
        <v>7655</v>
      </c>
      <c r="B4488" s="8" t="s">
        <v>7656</v>
      </c>
      <c r="C4488" s="8" t="s">
        <v>993</v>
      </c>
      <c r="D4488" s="8" t="str">
        <f>"9783839425978"</f>
        <v>9783839425978</v>
      </c>
    </row>
    <row r="4489" spans="1:4" ht="30" x14ac:dyDescent="0.25">
      <c r="A4489" s="7" t="s">
        <v>2637</v>
      </c>
      <c r="B4489" s="8" t="s">
        <v>2638</v>
      </c>
      <c r="C4489" s="8" t="s">
        <v>1345</v>
      </c>
      <c r="D4489" s="8" t="str">
        <f>"9783737601078"</f>
        <v>9783737601078</v>
      </c>
    </row>
    <row r="4490" spans="1:4" ht="45" x14ac:dyDescent="0.25">
      <c r="A4490" s="7" t="s">
        <v>1121</v>
      </c>
      <c r="B4490" s="8" t="s">
        <v>1122</v>
      </c>
      <c r="C4490" s="8" t="s">
        <v>316</v>
      </c>
      <c r="D4490" s="8" t="str">
        <f>"9783110922806"</f>
        <v>9783110922806</v>
      </c>
    </row>
    <row r="4491" spans="1:4" x14ac:dyDescent="0.25">
      <c r="A4491" s="7" t="s">
        <v>8462</v>
      </c>
      <c r="B4491" s="8" t="s">
        <v>8463</v>
      </c>
      <c r="C4491" s="8" t="s">
        <v>993</v>
      </c>
      <c r="D4491" s="8" t="str">
        <f>"9783839442166"</f>
        <v>9783839442166</v>
      </c>
    </row>
    <row r="4492" spans="1:4" x14ac:dyDescent="0.25">
      <c r="A4492" s="7" t="s">
        <v>1493</v>
      </c>
      <c r="B4492" s="8" t="s">
        <v>1494</v>
      </c>
      <c r="C4492" s="8" t="s">
        <v>1345</v>
      </c>
      <c r="D4492" s="8" t="str">
        <f>"9783862196050"</f>
        <v>9783862196050</v>
      </c>
    </row>
    <row r="4493" spans="1:4" x14ac:dyDescent="0.25">
      <c r="A4493" s="7" t="s">
        <v>12823</v>
      </c>
      <c r="B4493" s="8" t="s">
        <v>12791</v>
      </c>
      <c r="C4493" s="8" t="s">
        <v>12712</v>
      </c>
      <c r="D4493" s="8" t="str">
        <f>"9783428429349"</f>
        <v>9783428429349</v>
      </c>
    </row>
    <row r="4494" spans="1:4" x14ac:dyDescent="0.25">
      <c r="A4494" s="7" t="s">
        <v>10835</v>
      </c>
      <c r="B4494" s="8" t="s">
        <v>10836</v>
      </c>
      <c r="C4494" s="8" t="s">
        <v>1962</v>
      </c>
      <c r="D4494" s="8" t="str">
        <f>"9782759235001"</f>
        <v>9782759235001</v>
      </c>
    </row>
    <row r="4495" spans="1:4" x14ac:dyDescent="0.25">
      <c r="A4495" s="7" t="s">
        <v>2784</v>
      </c>
      <c r="B4495" s="8" t="s">
        <v>2786</v>
      </c>
      <c r="C4495" s="8" t="s">
        <v>2785</v>
      </c>
      <c r="D4495" s="8" t="str">
        <f>"9781137061614"</f>
        <v>9781137061614</v>
      </c>
    </row>
    <row r="4496" spans="1:4" x14ac:dyDescent="0.25">
      <c r="A4496" s="7" t="s">
        <v>572</v>
      </c>
      <c r="B4496" s="8" t="s">
        <v>573</v>
      </c>
      <c r="C4496" s="8" t="s">
        <v>562</v>
      </c>
      <c r="D4496" s="8" t="str">
        <f>"9780822389552"</f>
        <v>9780822389552</v>
      </c>
    </row>
    <row r="4497" spans="1:4" x14ac:dyDescent="0.25">
      <c r="A4497" s="7" t="s">
        <v>12898</v>
      </c>
      <c r="B4497" s="8" t="s">
        <v>12880</v>
      </c>
      <c r="C4497" s="8" t="s">
        <v>12712</v>
      </c>
      <c r="D4497" s="8" t="str">
        <f>"9783428445509"</f>
        <v>9783428445509</v>
      </c>
    </row>
    <row r="4498" spans="1:4" x14ac:dyDescent="0.25">
      <c r="A4498" s="7" t="s">
        <v>9728</v>
      </c>
      <c r="B4498" s="8" t="s">
        <v>9729</v>
      </c>
      <c r="C4498" s="8" t="s">
        <v>993</v>
      </c>
      <c r="D4498" s="8" t="str">
        <f>"9783839402948"</f>
        <v>9783839402948</v>
      </c>
    </row>
    <row r="4499" spans="1:4" x14ac:dyDescent="0.25">
      <c r="A4499" s="7" t="s">
        <v>7614</v>
      </c>
      <c r="B4499" s="8" t="s">
        <v>7615</v>
      </c>
      <c r="C4499" s="8" t="s">
        <v>993</v>
      </c>
      <c r="D4499" s="8" t="str">
        <f>"9783839422670"</f>
        <v>9783839422670</v>
      </c>
    </row>
    <row r="4500" spans="1:4" ht="30" x14ac:dyDescent="0.25">
      <c r="A4500" s="7" t="s">
        <v>1756</v>
      </c>
      <c r="B4500" s="8" t="s">
        <v>1757</v>
      </c>
      <c r="C4500" s="8" t="s">
        <v>1345</v>
      </c>
      <c r="D4500" s="8" t="str">
        <f>"9783862192076"</f>
        <v>9783862192076</v>
      </c>
    </row>
    <row r="4501" spans="1:4" x14ac:dyDescent="0.25">
      <c r="A4501" s="7" t="s">
        <v>11948</v>
      </c>
      <c r="B4501" s="8" t="s">
        <v>11949</v>
      </c>
      <c r="C4501" s="8" t="s">
        <v>355</v>
      </c>
      <c r="D4501" s="8" t="str">
        <f>"9783110591026"</f>
        <v>9783110591026</v>
      </c>
    </row>
    <row r="4502" spans="1:4" x14ac:dyDescent="0.25">
      <c r="A4502" s="7" t="s">
        <v>12533</v>
      </c>
      <c r="B4502" s="8" t="s">
        <v>11641</v>
      </c>
      <c r="C4502" s="8" t="s">
        <v>355</v>
      </c>
      <c r="D4502" s="8" t="str">
        <f>"9783110729221"</f>
        <v>9783110729221</v>
      </c>
    </row>
    <row r="4503" spans="1:4" x14ac:dyDescent="0.25">
      <c r="A4503" s="7" t="s">
        <v>11302</v>
      </c>
      <c r="B4503" s="8" t="s">
        <v>11303</v>
      </c>
      <c r="C4503" s="8" t="s">
        <v>316</v>
      </c>
      <c r="D4503" s="8" t="str">
        <f>"9783110812848"</f>
        <v>9783110812848</v>
      </c>
    </row>
    <row r="4504" spans="1:4" ht="30" x14ac:dyDescent="0.25">
      <c r="A4504" s="7" t="s">
        <v>2225</v>
      </c>
      <c r="B4504" s="8" t="s">
        <v>2226</v>
      </c>
      <c r="C4504" s="8" t="s">
        <v>355</v>
      </c>
      <c r="D4504" s="8" t="str">
        <f>"9783486989304"</f>
        <v>9783486989304</v>
      </c>
    </row>
    <row r="4505" spans="1:4" ht="30" x14ac:dyDescent="0.25">
      <c r="A4505" s="7" t="s">
        <v>1999</v>
      </c>
      <c r="B4505" s="8" t="s">
        <v>2000</v>
      </c>
      <c r="C4505" s="8" t="s">
        <v>1962</v>
      </c>
      <c r="D4505" s="8" t="str">
        <f>"9782759207183"</f>
        <v>9782759207183</v>
      </c>
    </row>
    <row r="4506" spans="1:4" x14ac:dyDescent="0.25">
      <c r="A4506" s="7" t="s">
        <v>1888</v>
      </c>
      <c r="B4506" s="8" t="s">
        <v>1889</v>
      </c>
      <c r="C4506" s="8" t="s">
        <v>1879</v>
      </c>
      <c r="D4506" s="8" t="str">
        <f>"9781906924232"</f>
        <v>9781906924232</v>
      </c>
    </row>
    <row r="4507" spans="1:4" x14ac:dyDescent="0.25">
      <c r="A4507" s="7" t="s">
        <v>10833</v>
      </c>
      <c r="B4507" s="8" t="s">
        <v>10834</v>
      </c>
      <c r="C4507" s="8" t="s">
        <v>1962</v>
      </c>
      <c r="D4507" s="8" t="str">
        <f>"9782759234653"</f>
        <v>9782759234653</v>
      </c>
    </row>
    <row r="4508" spans="1:4" x14ac:dyDescent="0.25">
      <c r="A4508" s="7" t="s">
        <v>2066</v>
      </c>
      <c r="B4508" s="8" t="s">
        <v>2067</v>
      </c>
      <c r="C4508" s="8" t="s">
        <v>1962</v>
      </c>
      <c r="D4508" s="8" t="str">
        <f>"9782759221691"</f>
        <v>9782759221691</v>
      </c>
    </row>
    <row r="4509" spans="1:4" x14ac:dyDescent="0.25">
      <c r="A4509" s="7" t="s">
        <v>7957</v>
      </c>
      <c r="B4509" s="8" t="s">
        <v>7958</v>
      </c>
      <c r="C4509" s="8" t="s">
        <v>1962</v>
      </c>
      <c r="D4509" s="8" t="str">
        <f>"9782759223367"</f>
        <v>9782759223367</v>
      </c>
    </row>
    <row r="4510" spans="1:4" x14ac:dyDescent="0.25">
      <c r="A4510" s="7" t="s">
        <v>2035</v>
      </c>
      <c r="B4510" s="8" t="s">
        <v>2036</v>
      </c>
      <c r="C4510" s="8" t="s">
        <v>1962</v>
      </c>
      <c r="D4510" s="8" t="str">
        <f>"9782759205110"</f>
        <v>9782759205110</v>
      </c>
    </row>
    <row r="4511" spans="1:4" ht="30" x14ac:dyDescent="0.25">
      <c r="A4511" s="7" t="s">
        <v>2850</v>
      </c>
      <c r="B4511" s="8" t="s">
        <v>2851</v>
      </c>
      <c r="C4511" s="8" t="s">
        <v>1962</v>
      </c>
      <c r="D4511" s="8" t="str">
        <f>"9782759225217"</f>
        <v>9782759225217</v>
      </c>
    </row>
    <row r="4512" spans="1:4" x14ac:dyDescent="0.25">
      <c r="A4512" s="7" t="s">
        <v>11795</v>
      </c>
      <c r="B4512" s="8" t="s">
        <v>11796</v>
      </c>
      <c r="C4512" s="8" t="s">
        <v>355</v>
      </c>
      <c r="D4512" s="8" t="str">
        <f>"9783110707540"</f>
        <v>9783110707540</v>
      </c>
    </row>
    <row r="4513" spans="1:4" x14ac:dyDescent="0.25">
      <c r="A4513" s="7" t="s">
        <v>2039</v>
      </c>
      <c r="B4513" s="8" t="s">
        <v>2040</v>
      </c>
      <c r="C4513" s="8" t="s">
        <v>1962</v>
      </c>
      <c r="D4513" s="8" t="str">
        <f>"9782759203468"</f>
        <v>9782759203468</v>
      </c>
    </row>
    <row r="4514" spans="1:4" ht="30" x14ac:dyDescent="0.25">
      <c r="A4514" s="7" t="s">
        <v>11991</v>
      </c>
      <c r="B4514" s="8" t="s">
        <v>11992</v>
      </c>
      <c r="C4514" s="8" t="s">
        <v>355</v>
      </c>
      <c r="D4514" s="8" t="str">
        <f>"9783110661804"</f>
        <v>9783110661804</v>
      </c>
    </row>
    <row r="4515" spans="1:4" x14ac:dyDescent="0.25">
      <c r="A4515" s="7" t="s">
        <v>2054</v>
      </c>
      <c r="B4515" s="8" t="s">
        <v>2055</v>
      </c>
      <c r="C4515" s="8" t="s">
        <v>1962</v>
      </c>
      <c r="D4515" s="8" t="str">
        <f>"9782759218936"</f>
        <v>9782759218936</v>
      </c>
    </row>
    <row r="4516" spans="1:4" x14ac:dyDescent="0.25">
      <c r="A4516" s="7" t="s">
        <v>2659</v>
      </c>
      <c r="B4516" s="8" t="s">
        <v>2660</v>
      </c>
      <c r="C4516" s="8" t="s">
        <v>1962</v>
      </c>
      <c r="D4516" s="8" t="str">
        <f>"9782759224708"</f>
        <v>9782759224708</v>
      </c>
    </row>
    <row r="4517" spans="1:4" ht="30" x14ac:dyDescent="0.25">
      <c r="A4517" s="7" t="s">
        <v>7993</v>
      </c>
      <c r="B4517" s="8" t="s">
        <v>7994</v>
      </c>
      <c r="C4517" s="8" t="s">
        <v>1962</v>
      </c>
      <c r="D4517" s="8" t="str">
        <f>"9782759229222"</f>
        <v>9782759229222</v>
      </c>
    </row>
    <row r="4518" spans="1:4" x14ac:dyDescent="0.25">
      <c r="A4518" s="7" t="s">
        <v>3114</v>
      </c>
      <c r="B4518" s="8" t="s">
        <v>3115</v>
      </c>
      <c r="C4518" s="8" t="s">
        <v>1962</v>
      </c>
      <c r="D4518" s="8" t="str">
        <f>"9782759226283"</f>
        <v>9782759226283</v>
      </c>
    </row>
    <row r="4519" spans="1:4" x14ac:dyDescent="0.25">
      <c r="A4519" s="7" t="s">
        <v>8020</v>
      </c>
      <c r="B4519" s="8" t="s">
        <v>8021</v>
      </c>
      <c r="C4519" s="8" t="s">
        <v>1962</v>
      </c>
      <c r="D4519" s="8" t="str">
        <f>"9782759232710"</f>
        <v>9782759232710</v>
      </c>
    </row>
    <row r="4520" spans="1:4" x14ac:dyDescent="0.25">
      <c r="A4520" s="7" t="s">
        <v>11752</v>
      </c>
      <c r="B4520" s="8" t="s">
        <v>68</v>
      </c>
      <c r="C4520" s="8" t="s">
        <v>355</v>
      </c>
      <c r="D4520" s="8" t="str">
        <f>"9783110732764"</f>
        <v>9783110732764</v>
      </c>
    </row>
    <row r="4521" spans="1:4" x14ac:dyDescent="0.25">
      <c r="A4521" s="7" t="s">
        <v>1904</v>
      </c>
      <c r="B4521" s="8" t="s">
        <v>1905</v>
      </c>
      <c r="C4521" s="8" t="s">
        <v>1879</v>
      </c>
      <c r="D4521" s="8" t="str">
        <f>"9781906924584"</f>
        <v>9781906924584</v>
      </c>
    </row>
    <row r="4522" spans="1:4" x14ac:dyDescent="0.25">
      <c r="A4522" s="7" t="s">
        <v>8841</v>
      </c>
      <c r="B4522" s="8" t="s">
        <v>8842</v>
      </c>
      <c r="C4522" s="8" t="s">
        <v>8805</v>
      </c>
      <c r="D4522" s="8" t="str">
        <f>"9781934831205"</f>
        <v>9781934831205</v>
      </c>
    </row>
    <row r="4523" spans="1:4" x14ac:dyDescent="0.25">
      <c r="A4523" s="7" t="s">
        <v>10815</v>
      </c>
      <c r="B4523" s="8" t="s">
        <v>10816</v>
      </c>
      <c r="C4523" s="8" t="s">
        <v>2273</v>
      </c>
      <c r="D4523" s="8" t="str">
        <f>"9783030479947"</f>
        <v>9783030479947</v>
      </c>
    </row>
    <row r="4524" spans="1:4" ht="30" x14ac:dyDescent="0.25">
      <c r="A4524" s="7" t="s">
        <v>4315</v>
      </c>
      <c r="B4524" s="8" t="s">
        <v>4316</v>
      </c>
      <c r="C4524" s="8" t="s">
        <v>1345</v>
      </c>
      <c r="D4524" s="8" t="str">
        <f>"9783737603317"</f>
        <v>9783737603317</v>
      </c>
    </row>
    <row r="4525" spans="1:4" x14ac:dyDescent="0.25">
      <c r="A4525" s="7" t="s">
        <v>7036</v>
      </c>
      <c r="B4525" s="8" t="s">
        <v>7037</v>
      </c>
      <c r="C4525" s="8" t="s">
        <v>355</v>
      </c>
      <c r="D4525" s="8" t="str">
        <f>"9783110668926"</f>
        <v>9783110668926</v>
      </c>
    </row>
    <row r="4526" spans="1:4" ht="30" x14ac:dyDescent="0.25">
      <c r="A4526" s="7" t="s">
        <v>3106</v>
      </c>
      <c r="B4526" s="8" t="s">
        <v>3107</v>
      </c>
      <c r="C4526" s="8" t="s">
        <v>1865</v>
      </c>
      <c r="D4526" s="8" t="str">
        <f>"9789176855577"</f>
        <v>9789176855577</v>
      </c>
    </row>
    <row r="4527" spans="1:4" x14ac:dyDescent="0.25">
      <c r="A4527" s="7" t="s">
        <v>13744</v>
      </c>
      <c r="B4527" s="8" t="s">
        <v>13745</v>
      </c>
      <c r="C4527" s="8" t="s">
        <v>355</v>
      </c>
      <c r="D4527" s="8" t="str">
        <f>"9783110798081"</f>
        <v>9783110798081</v>
      </c>
    </row>
    <row r="4528" spans="1:4" x14ac:dyDescent="0.25">
      <c r="A4528" s="7" t="s">
        <v>12291</v>
      </c>
      <c r="B4528" s="8" t="s">
        <v>7682</v>
      </c>
      <c r="C4528" s="8" t="s">
        <v>993</v>
      </c>
      <c r="D4528" s="8" t="str">
        <f>"9783839459737"</f>
        <v>9783839459737</v>
      </c>
    </row>
    <row r="4529" spans="1:4" x14ac:dyDescent="0.25">
      <c r="A4529" s="7" t="s">
        <v>8019</v>
      </c>
      <c r="B4529" s="8" t="s">
        <v>1962</v>
      </c>
      <c r="C4529" s="8" t="s">
        <v>1962</v>
      </c>
      <c r="D4529" s="8" t="str">
        <f>"9782759232994"</f>
        <v>9782759232994</v>
      </c>
    </row>
    <row r="4530" spans="1:4" x14ac:dyDescent="0.25">
      <c r="A4530" s="7" t="s">
        <v>13613</v>
      </c>
      <c r="B4530" s="8" t="s">
        <v>13614</v>
      </c>
      <c r="C4530" s="8" t="s">
        <v>2273</v>
      </c>
      <c r="D4530" s="8" t="str">
        <f>"9783031135088"</f>
        <v>9783031135088</v>
      </c>
    </row>
    <row r="4531" spans="1:4" x14ac:dyDescent="0.25">
      <c r="A4531" s="7" t="s">
        <v>10906</v>
      </c>
      <c r="B4531" s="8" t="s">
        <v>10907</v>
      </c>
      <c r="C4531" s="8" t="s">
        <v>2082</v>
      </c>
      <c r="D4531" s="8" t="str">
        <f>"9780472902491"</f>
        <v>9780472902491</v>
      </c>
    </row>
    <row r="4532" spans="1:4" x14ac:dyDescent="0.25">
      <c r="A4532" s="7" t="s">
        <v>757</v>
      </c>
      <c r="B4532" s="8" t="s">
        <v>758</v>
      </c>
      <c r="C4532" s="8" t="s">
        <v>355</v>
      </c>
      <c r="D4532" s="8" t="str">
        <f>"9783486707564"</f>
        <v>9783486707564</v>
      </c>
    </row>
    <row r="4533" spans="1:4" x14ac:dyDescent="0.25">
      <c r="A4533" s="7" t="s">
        <v>12356</v>
      </c>
      <c r="B4533" s="8" t="s">
        <v>12357</v>
      </c>
      <c r="C4533" s="8" t="s">
        <v>993</v>
      </c>
      <c r="D4533" s="8" t="str">
        <f>"9783839463192"</f>
        <v>9783839463192</v>
      </c>
    </row>
    <row r="4534" spans="1:4" ht="30" x14ac:dyDescent="0.25">
      <c r="A4534" s="7" t="s">
        <v>320</v>
      </c>
      <c r="B4534" s="8" t="s">
        <v>321</v>
      </c>
      <c r="C4534" s="8" t="s">
        <v>316</v>
      </c>
      <c r="D4534" s="8" t="str">
        <f>"9783598441257"</f>
        <v>9783598441257</v>
      </c>
    </row>
    <row r="4535" spans="1:4" x14ac:dyDescent="0.25">
      <c r="A4535" s="7" t="s">
        <v>504</v>
      </c>
      <c r="B4535" s="8" t="s">
        <v>505</v>
      </c>
      <c r="C4535" s="8" t="s">
        <v>355</v>
      </c>
      <c r="D4535" s="8" t="str">
        <f>"9783110263121"</f>
        <v>9783110263121</v>
      </c>
    </row>
    <row r="4536" spans="1:4" x14ac:dyDescent="0.25">
      <c r="A4536" s="7" t="s">
        <v>11536</v>
      </c>
      <c r="B4536" s="8" t="s">
        <v>11537</v>
      </c>
      <c r="C4536" s="8" t="s">
        <v>355</v>
      </c>
      <c r="D4536" s="8" t="str">
        <f>"9783110636628"</f>
        <v>9783110636628</v>
      </c>
    </row>
    <row r="4537" spans="1:4" x14ac:dyDescent="0.25">
      <c r="A4537" s="7" t="s">
        <v>5828</v>
      </c>
      <c r="B4537" s="8" t="s">
        <v>5829</v>
      </c>
      <c r="C4537" s="8" t="s">
        <v>5134</v>
      </c>
      <c r="D4537" s="8" t="str">
        <f>"9783642548123"</f>
        <v>9783642548123</v>
      </c>
    </row>
    <row r="4538" spans="1:4" ht="30" x14ac:dyDescent="0.25">
      <c r="A4538" s="7" t="s">
        <v>337</v>
      </c>
      <c r="B4538" s="8" t="s">
        <v>338</v>
      </c>
      <c r="C4538" s="8" t="s">
        <v>316</v>
      </c>
      <c r="D4538" s="8" t="str">
        <f>"9783598441677"</f>
        <v>9783598441677</v>
      </c>
    </row>
    <row r="4539" spans="1:4" x14ac:dyDescent="0.25">
      <c r="A4539" s="7" t="s">
        <v>9322</v>
      </c>
      <c r="B4539" s="8" t="s">
        <v>9323</v>
      </c>
      <c r="C4539" s="8" t="s">
        <v>9256</v>
      </c>
      <c r="D4539" s="8" t="str">
        <f>"9788021095366"</f>
        <v>9788021095366</v>
      </c>
    </row>
    <row r="4540" spans="1:4" ht="30" x14ac:dyDescent="0.25">
      <c r="A4540" s="7" t="s">
        <v>7487</v>
      </c>
      <c r="B4540" s="8" t="s">
        <v>7488</v>
      </c>
      <c r="C4540" s="8" t="s">
        <v>993</v>
      </c>
      <c r="D4540" s="8" t="str">
        <f>"9783839435878"</f>
        <v>9783839435878</v>
      </c>
    </row>
    <row r="4541" spans="1:4" x14ac:dyDescent="0.25">
      <c r="A4541" s="7" t="s">
        <v>7061</v>
      </c>
      <c r="B4541" s="8" t="s">
        <v>5002</v>
      </c>
      <c r="C4541" s="8" t="s">
        <v>355</v>
      </c>
      <c r="D4541" s="8" t="str">
        <f>"9783110665093"</f>
        <v>9783110665093</v>
      </c>
    </row>
    <row r="4542" spans="1:4" ht="30" x14ac:dyDescent="0.25">
      <c r="A4542" s="7" t="s">
        <v>10311</v>
      </c>
      <c r="B4542" s="8" t="s">
        <v>10312</v>
      </c>
      <c r="C4542" s="8" t="s">
        <v>993</v>
      </c>
      <c r="D4542" s="8" t="str">
        <f>"9783839448557"</f>
        <v>9783839448557</v>
      </c>
    </row>
    <row r="4543" spans="1:4" x14ac:dyDescent="0.25">
      <c r="A4543" s="7" t="s">
        <v>2697</v>
      </c>
      <c r="B4543" s="8" t="s">
        <v>2698</v>
      </c>
      <c r="C4543" s="8" t="s">
        <v>993</v>
      </c>
      <c r="D4543" s="8" t="str">
        <f>"9783839435458"</f>
        <v>9783839435458</v>
      </c>
    </row>
    <row r="4544" spans="1:4" ht="30" x14ac:dyDescent="0.25">
      <c r="A4544" s="7" t="s">
        <v>8914</v>
      </c>
      <c r="B4544" s="8" t="s">
        <v>8915</v>
      </c>
      <c r="C4544" s="8" t="s">
        <v>1962</v>
      </c>
      <c r="D4544" s="8" t="str">
        <f>"9782759234684"</f>
        <v>9782759234684</v>
      </c>
    </row>
    <row r="4545" spans="1:4" x14ac:dyDescent="0.25">
      <c r="A4545" s="7" t="s">
        <v>6906</v>
      </c>
      <c r="B4545" s="8" t="s">
        <v>6907</v>
      </c>
      <c r="C4545" s="8" t="s">
        <v>1865</v>
      </c>
      <c r="D4545" s="8" t="str">
        <f>"9789179296223"</f>
        <v>9789179296223</v>
      </c>
    </row>
    <row r="4546" spans="1:4" x14ac:dyDescent="0.25">
      <c r="A4546" s="7" t="s">
        <v>5213</v>
      </c>
      <c r="B4546" s="8" t="s">
        <v>5215</v>
      </c>
      <c r="C4546" s="8" t="s">
        <v>5214</v>
      </c>
      <c r="D4546" s="8" t="str">
        <f>"9789401772211"</f>
        <v>9789401772211</v>
      </c>
    </row>
    <row r="4547" spans="1:4" x14ac:dyDescent="0.25">
      <c r="A4547" s="7" t="s">
        <v>4350</v>
      </c>
      <c r="B4547" s="8" t="s">
        <v>4351</v>
      </c>
      <c r="C4547" s="8" t="s">
        <v>1879</v>
      </c>
      <c r="D4547" s="8" t="str">
        <f>"9781783745463"</f>
        <v>9781783745463</v>
      </c>
    </row>
    <row r="4548" spans="1:4" ht="30" x14ac:dyDescent="0.25">
      <c r="A4548" s="7" t="s">
        <v>15153</v>
      </c>
      <c r="B4548" s="8" t="s">
        <v>15154</v>
      </c>
      <c r="C4548" s="8" t="s">
        <v>1865</v>
      </c>
      <c r="D4548" s="8" t="str">
        <f>"9789175190570"</f>
        <v>9789175190570</v>
      </c>
    </row>
    <row r="4549" spans="1:4" ht="30" x14ac:dyDescent="0.25">
      <c r="A4549" s="7" t="s">
        <v>9312</v>
      </c>
      <c r="B4549" s="8" t="s">
        <v>9313</v>
      </c>
      <c r="C4549" s="8" t="s">
        <v>9256</v>
      </c>
      <c r="D4549" s="8" t="str">
        <f>"9788021094840"</f>
        <v>9788021094840</v>
      </c>
    </row>
    <row r="4550" spans="1:4" ht="30" x14ac:dyDescent="0.25">
      <c r="A4550" s="7" t="s">
        <v>14205</v>
      </c>
      <c r="B4550" s="8" t="s">
        <v>14206</v>
      </c>
      <c r="C4550" s="8" t="s">
        <v>9256</v>
      </c>
      <c r="D4550" s="8" t="str">
        <f>"9788028000769"</f>
        <v>9788028000769</v>
      </c>
    </row>
    <row r="4551" spans="1:4" x14ac:dyDescent="0.25">
      <c r="A4551" s="7" t="s">
        <v>1262</v>
      </c>
      <c r="B4551" s="8" t="s">
        <v>1263</v>
      </c>
      <c r="C4551" s="8" t="s">
        <v>1224</v>
      </c>
      <c r="D4551" s="8" t="str">
        <f>"9781618116888"</f>
        <v>9781618116888</v>
      </c>
    </row>
    <row r="4552" spans="1:4" x14ac:dyDescent="0.25">
      <c r="A4552" s="7" t="s">
        <v>3373</v>
      </c>
      <c r="B4552" s="8" t="s">
        <v>3374</v>
      </c>
      <c r="C4552" s="8" t="s">
        <v>1865</v>
      </c>
      <c r="D4552" s="8" t="str">
        <f>"9789176854358"</f>
        <v>9789176854358</v>
      </c>
    </row>
    <row r="4553" spans="1:4" x14ac:dyDescent="0.25">
      <c r="A4553" s="7" t="s">
        <v>8746</v>
      </c>
      <c r="B4553" s="8" t="s">
        <v>8747</v>
      </c>
      <c r="C4553" s="8" t="s">
        <v>2273</v>
      </c>
      <c r="D4553" s="8" t="str">
        <f>"9783030852146"</f>
        <v>9783030852146</v>
      </c>
    </row>
    <row r="4554" spans="1:4" ht="30" x14ac:dyDescent="0.25">
      <c r="A4554" s="7" t="s">
        <v>14354</v>
      </c>
      <c r="B4554" s="8" t="s">
        <v>14355</v>
      </c>
      <c r="C4554" s="8" t="s">
        <v>1879</v>
      </c>
      <c r="D4554" s="8" t="str">
        <f>"9781800647510"</f>
        <v>9781800647510</v>
      </c>
    </row>
    <row r="4555" spans="1:4" x14ac:dyDescent="0.25">
      <c r="A4555" s="7" t="s">
        <v>6504</v>
      </c>
      <c r="B4555" s="8" t="s">
        <v>6505</v>
      </c>
      <c r="C4555" s="8" t="s">
        <v>1879</v>
      </c>
      <c r="D4555" s="8" t="str">
        <f>"9781783747191"</f>
        <v>9781783747191</v>
      </c>
    </row>
    <row r="4556" spans="1:4" x14ac:dyDescent="0.25">
      <c r="A4556" s="7" t="s">
        <v>15933</v>
      </c>
      <c r="B4556" s="8" t="s">
        <v>15934</v>
      </c>
      <c r="C4556" s="8" t="s">
        <v>1865</v>
      </c>
      <c r="D4556" s="8" t="str">
        <f>"9789175197555"</f>
        <v>9789175197555</v>
      </c>
    </row>
    <row r="4557" spans="1:4" x14ac:dyDescent="0.25">
      <c r="A4557" s="7" t="s">
        <v>6522</v>
      </c>
      <c r="B4557" s="8" t="s">
        <v>6523</v>
      </c>
      <c r="C4557" s="8" t="s">
        <v>1879</v>
      </c>
      <c r="D4557" s="8" t="str">
        <f>"9781800641099"</f>
        <v>9781800641099</v>
      </c>
    </row>
    <row r="4558" spans="1:4" x14ac:dyDescent="0.25">
      <c r="A4558" s="7" t="s">
        <v>5336</v>
      </c>
      <c r="B4558" s="8" t="s">
        <v>5337</v>
      </c>
      <c r="C4558" s="8" t="s">
        <v>1879</v>
      </c>
      <c r="D4558" s="8" t="str">
        <f>"9781783749898"</f>
        <v>9781783749898</v>
      </c>
    </row>
    <row r="4559" spans="1:4" x14ac:dyDescent="0.25">
      <c r="A4559" s="7" t="s">
        <v>16142</v>
      </c>
      <c r="B4559" s="8" t="s">
        <v>16143</v>
      </c>
      <c r="C4559" s="8" t="s">
        <v>1865</v>
      </c>
      <c r="D4559" s="8" t="str">
        <f>"9789175193649"</f>
        <v>9789175193649</v>
      </c>
    </row>
    <row r="4560" spans="1:4" x14ac:dyDescent="0.25">
      <c r="A4560" s="7" t="s">
        <v>375</v>
      </c>
      <c r="B4560" s="8" t="s">
        <v>376</v>
      </c>
      <c r="C4560" s="8" t="s">
        <v>227</v>
      </c>
      <c r="D4560" s="8" t="str">
        <f>"9781847790866"</f>
        <v>9781847790866</v>
      </c>
    </row>
    <row r="4561" spans="1:4" ht="30" x14ac:dyDescent="0.25">
      <c r="A4561" s="7" t="s">
        <v>5948</v>
      </c>
      <c r="B4561" s="8" t="s">
        <v>5949</v>
      </c>
      <c r="C4561" s="8" t="s">
        <v>2273</v>
      </c>
      <c r="D4561" s="8" t="str">
        <f>"9783319778242"</f>
        <v>9783319778242</v>
      </c>
    </row>
    <row r="4562" spans="1:4" x14ac:dyDescent="0.25">
      <c r="A4562" s="7" t="s">
        <v>3879</v>
      </c>
      <c r="B4562" s="8" t="s">
        <v>3880</v>
      </c>
      <c r="C4562" s="8" t="s">
        <v>355</v>
      </c>
      <c r="D4562" s="8" t="str">
        <f>"9783110562507"</f>
        <v>9783110562507</v>
      </c>
    </row>
    <row r="4563" spans="1:4" x14ac:dyDescent="0.25">
      <c r="A4563" s="7" t="s">
        <v>5871</v>
      </c>
      <c r="B4563" s="8" t="s">
        <v>5872</v>
      </c>
      <c r="C4563" s="8" t="s">
        <v>2273</v>
      </c>
      <c r="D4563" s="8" t="str">
        <f>"9783319912233"</f>
        <v>9783319912233</v>
      </c>
    </row>
    <row r="4564" spans="1:4" x14ac:dyDescent="0.25">
      <c r="A4564" s="7" t="s">
        <v>11595</v>
      </c>
      <c r="B4564" s="8" t="s">
        <v>11596</v>
      </c>
      <c r="C4564" s="8" t="s">
        <v>355</v>
      </c>
      <c r="D4564" s="8" t="str">
        <f>"9783111337579"</f>
        <v>9783111337579</v>
      </c>
    </row>
    <row r="4565" spans="1:4" ht="30" x14ac:dyDescent="0.25">
      <c r="A4565" s="7" t="s">
        <v>12109</v>
      </c>
      <c r="B4565" s="8" t="s">
        <v>12110</v>
      </c>
      <c r="C4565" s="8" t="s">
        <v>355</v>
      </c>
      <c r="D4565" s="8" t="str">
        <f>"9783110688696"</f>
        <v>9783110688696</v>
      </c>
    </row>
    <row r="4566" spans="1:4" x14ac:dyDescent="0.25">
      <c r="A4566" s="7" t="s">
        <v>2635</v>
      </c>
      <c r="B4566" s="8" t="s">
        <v>2636</v>
      </c>
      <c r="C4566" s="8" t="s">
        <v>1345</v>
      </c>
      <c r="D4566" s="8" t="str">
        <f>"9783737600873"</f>
        <v>9783737600873</v>
      </c>
    </row>
    <row r="4567" spans="1:4" ht="30" x14ac:dyDescent="0.25">
      <c r="A4567" s="7" t="s">
        <v>15459</v>
      </c>
      <c r="B4567" s="8" t="s">
        <v>15460</v>
      </c>
      <c r="C4567" s="8" t="s">
        <v>1865</v>
      </c>
      <c r="D4567" s="8" t="str">
        <f>"9789175199986"</f>
        <v>9789175199986</v>
      </c>
    </row>
    <row r="4568" spans="1:4" ht="30" x14ac:dyDescent="0.25">
      <c r="A4568" s="7" t="s">
        <v>2769</v>
      </c>
      <c r="B4568" s="8" t="s">
        <v>2770</v>
      </c>
      <c r="C4568" s="8" t="s">
        <v>1865</v>
      </c>
      <c r="D4568" s="8" t="str">
        <f>"9789176857090"</f>
        <v>9789176857090</v>
      </c>
    </row>
    <row r="4569" spans="1:4" ht="30" x14ac:dyDescent="0.25">
      <c r="A4569" s="7" t="s">
        <v>8339</v>
      </c>
      <c r="B4569" s="8" t="s">
        <v>8340</v>
      </c>
      <c r="C4569" s="8" t="s">
        <v>993</v>
      </c>
      <c r="D4569" s="8" t="str">
        <f>"9783839442609"</f>
        <v>9783839442609</v>
      </c>
    </row>
    <row r="4570" spans="1:4" x14ac:dyDescent="0.25">
      <c r="A4570" s="7" t="s">
        <v>7831</v>
      </c>
      <c r="B4570" s="8" t="s">
        <v>7832</v>
      </c>
      <c r="C4570" s="8" t="s">
        <v>2273</v>
      </c>
      <c r="D4570" s="8" t="str">
        <f>"9783030748173"</f>
        <v>9783030748173</v>
      </c>
    </row>
    <row r="4571" spans="1:4" x14ac:dyDescent="0.25">
      <c r="A4571" s="7" t="s">
        <v>4040</v>
      </c>
      <c r="B4571" s="8" t="s">
        <v>4041</v>
      </c>
      <c r="C4571" s="8" t="s">
        <v>329</v>
      </c>
      <c r="D4571" s="8" t="str">
        <f>"9789048530670"</f>
        <v>9789048530670</v>
      </c>
    </row>
    <row r="4572" spans="1:4" x14ac:dyDescent="0.25">
      <c r="A4572" s="7" t="s">
        <v>10187</v>
      </c>
      <c r="B4572" s="8" t="s">
        <v>10188</v>
      </c>
      <c r="C4572" s="8" t="s">
        <v>993</v>
      </c>
      <c r="D4572" s="8" t="str">
        <f>"9783839443118"</f>
        <v>9783839443118</v>
      </c>
    </row>
    <row r="4573" spans="1:4" ht="30" x14ac:dyDescent="0.25">
      <c r="A4573" s="7" t="s">
        <v>13723</v>
      </c>
      <c r="B4573" s="8" t="s">
        <v>13724</v>
      </c>
      <c r="C4573" s="8" t="s">
        <v>993</v>
      </c>
      <c r="D4573" s="8" t="str">
        <f>"9783839465035"</f>
        <v>9783839465035</v>
      </c>
    </row>
    <row r="4574" spans="1:4" ht="30" x14ac:dyDescent="0.25">
      <c r="A4574" s="7" t="s">
        <v>9846</v>
      </c>
      <c r="B4574" s="8" t="s">
        <v>9847</v>
      </c>
      <c r="C4574" s="8" t="s">
        <v>993</v>
      </c>
      <c r="D4574" s="8" t="str">
        <f>"9783839406540"</f>
        <v>9783839406540</v>
      </c>
    </row>
    <row r="4575" spans="1:4" ht="30" x14ac:dyDescent="0.25">
      <c r="A4575" s="7" t="s">
        <v>7179</v>
      </c>
      <c r="B4575" s="8" t="s">
        <v>7180</v>
      </c>
      <c r="C4575" s="8" t="s">
        <v>355</v>
      </c>
      <c r="D4575" s="8" t="str">
        <f>"9783110642384"</f>
        <v>9783110642384</v>
      </c>
    </row>
    <row r="4576" spans="1:4" x14ac:dyDescent="0.25">
      <c r="A4576" s="7" t="s">
        <v>7196</v>
      </c>
      <c r="B4576" s="8" t="s">
        <v>7197</v>
      </c>
      <c r="C4576" s="8" t="s">
        <v>355</v>
      </c>
      <c r="D4576" s="8" t="str">
        <f>"9783110691375"</f>
        <v>9783110691375</v>
      </c>
    </row>
    <row r="4577" spans="1:4" x14ac:dyDescent="0.25">
      <c r="A4577" s="7" t="s">
        <v>9231</v>
      </c>
      <c r="B4577" s="8" t="s">
        <v>9232</v>
      </c>
      <c r="C4577" s="8" t="s">
        <v>4882</v>
      </c>
      <c r="D4577" s="8" t="str">
        <f>"9781800345515"</f>
        <v>9781800345515</v>
      </c>
    </row>
    <row r="4578" spans="1:4" x14ac:dyDescent="0.25">
      <c r="A4578" s="7" t="s">
        <v>6289</v>
      </c>
      <c r="B4578" s="8" t="s">
        <v>6290</v>
      </c>
      <c r="C4578" s="8" t="s">
        <v>1036</v>
      </c>
      <c r="D4578" s="8" t="str">
        <f>"9789027260598"</f>
        <v>9789027260598</v>
      </c>
    </row>
    <row r="4579" spans="1:4" x14ac:dyDescent="0.25">
      <c r="A4579" s="7" t="s">
        <v>11780</v>
      </c>
      <c r="B4579" s="8" t="s">
        <v>11781</v>
      </c>
      <c r="C4579" s="8" t="s">
        <v>355</v>
      </c>
      <c r="D4579" s="8" t="str">
        <f>"9783110641998"</f>
        <v>9783110641998</v>
      </c>
    </row>
    <row r="4580" spans="1:4" x14ac:dyDescent="0.25">
      <c r="A4580" s="7" t="s">
        <v>12022</v>
      </c>
      <c r="B4580" s="8" t="s">
        <v>12023</v>
      </c>
      <c r="C4580" s="8" t="s">
        <v>355</v>
      </c>
      <c r="D4580" s="8" t="str">
        <f>"9783110758603"</f>
        <v>9783110758603</v>
      </c>
    </row>
    <row r="4581" spans="1:4" x14ac:dyDescent="0.25">
      <c r="A4581" s="7" t="s">
        <v>4995</v>
      </c>
      <c r="B4581" s="8" t="s">
        <v>4996</v>
      </c>
      <c r="C4581" s="8" t="s">
        <v>355</v>
      </c>
      <c r="D4581" s="8" t="str">
        <f>"9783110673678"</f>
        <v>9783110673678</v>
      </c>
    </row>
    <row r="4582" spans="1:4" x14ac:dyDescent="0.25">
      <c r="A4582" s="7" t="s">
        <v>2970</v>
      </c>
      <c r="B4582" s="8" t="s">
        <v>2971</v>
      </c>
      <c r="C4582" s="8" t="s">
        <v>1879</v>
      </c>
      <c r="D4582" s="8" t="str">
        <f>"9781783742752"</f>
        <v>9781783742752</v>
      </c>
    </row>
    <row r="4583" spans="1:4" x14ac:dyDescent="0.25">
      <c r="A4583" s="7" t="s">
        <v>7020</v>
      </c>
      <c r="B4583" s="8" t="s">
        <v>7021</v>
      </c>
      <c r="C4583" s="8" t="s">
        <v>355</v>
      </c>
      <c r="D4583" s="8" t="str">
        <f>"9783110668902"</f>
        <v>9783110668902</v>
      </c>
    </row>
    <row r="4584" spans="1:4" ht="45" x14ac:dyDescent="0.25">
      <c r="A4584" s="7" t="s">
        <v>13116</v>
      </c>
      <c r="B4584" s="8" t="s">
        <v>13117</v>
      </c>
      <c r="C4584" s="8" t="s">
        <v>12712</v>
      </c>
      <c r="D4584" s="8" t="str">
        <f>"9783428572861"</f>
        <v>9783428572861</v>
      </c>
    </row>
    <row r="4585" spans="1:4" ht="30" x14ac:dyDescent="0.25">
      <c r="A4585" s="7" t="s">
        <v>7115</v>
      </c>
      <c r="B4585" s="8" t="s">
        <v>7116</v>
      </c>
      <c r="C4585" s="8" t="s">
        <v>355</v>
      </c>
      <c r="D4585" s="8" t="str">
        <f>"9783110665833"</f>
        <v>9783110665833</v>
      </c>
    </row>
    <row r="4586" spans="1:4" x14ac:dyDescent="0.25">
      <c r="A4586" s="7" t="s">
        <v>15181</v>
      </c>
      <c r="B4586" s="8" t="s">
        <v>15182</v>
      </c>
      <c r="C4586" s="8" t="s">
        <v>1865</v>
      </c>
      <c r="D4586" s="8" t="str">
        <f>"9789176857212"</f>
        <v>9789176857212</v>
      </c>
    </row>
    <row r="4587" spans="1:4" x14ac:dyDescent="0.25">
      <c r="A4587" s="7" t="s">
        <v>1871</v>
      </c>
      <c r="B4587" s="8" t="s">
        <v>1872</v>
      </c>
      <c r="C4587" s="8" t="s">
        <v>1865</v>
      </c>
      <c r="D4587" s="8" t="str">
        <f>"9789175191201"</f>
        <v>9789175191201</v>
      </c>
    </row>
    <row r="4588" spans="1:4" x14ac:dyDescent="0.25">
      <c r="A4588" s="7" t="s">
        <v>7278</v>
      </c>
      <c r="B4588" s="8" t="s">
        <v>7279</v>
      </c>
      <c r="C4588" s="8" t="s">
        <v>2273</v>
      </c>
      <c r="D4588" s="8" t="str">
        <f>"9783030698829"</f>
        <v>9783030698829</v>
      </c>
    </row>
    <row r="4589" spans="1:4" ht="30" x14ac:dyDescent="0.25">
      <c r="A4589" s="7" t="s">
        <v>4082</v>
      </c>
      <c r="B4589" s="8" t="s">
        <v>4083</v>
      </c>
      <c r="C4589" s="8" t="s">
        <v>355</v>
      </c>
      <c r="D4589" s="8" t="str">
        <f>"9783110557596"</f>
        <v>9783110557596</v>
      </c>
    </row>
    <row r="4590" spans="1:4" x14ac:dyDescent="0.25">
      <c r="A4590" s="7" t="s">
        <v>9848</v>
      </c>
      <c r="B4590" s="8" t="s">
        <v>9849</v>
      </c>
      <c r="C4590" s="8" t="s">
        <v>993</v>
      </c>
      <c r="D4590" s="8" t="str">
        <f>"9783839406571"</f>
        <v>9783839406571</v>
      </c>
    </row>
    <row r="4591" spans="1:4" x14ac:dyDescent="0.25">
      <c r="A4591" s="7" t="s">
        <v>10627</v>
      </c>
      <c r="B4591" s="8" t="s">
        <v>204</v>
      </c>
      <c r="C4591" s="8" t="s">
        <v>4245</v>
      </c>
      <c r="D4591" s="8" t="str">
        <f>"9789811647178"</f>
        <v>9789811647178</v>
      </c>
    </row>
    <row r="4592" spans="1:4" x14ac:dyDescent="0.25">
      <c r="A4592" s="7" t="s">
        <v>14384</v>
      </c>
      <c r="B4592" s="8" t="s">
        <v>14385</v>
      </c>
      <c r="C4592" s="8" t="s">
        <v>1865</v>
      </c>
      <c r="D4592" s="8" t="str">
        <f>"9789179294854"</f>
        <v>9789179294854</v>
      </c>
    </row>
    <row r="4593" spans="1:4" x14ac:dyDescent="0.25">
      <c r="A4593" s="7" t="s">
        <v>4988</v>
      </c>
      <c r="B4593" s="8" t="s">
        <v>4989</v>
      </c>
      <c r="C4593" s="8" t="s">
        <v>1879</v>
      </c>
      <c r="D4593" s="8" t="str">
        <f>"9781783748051"</f>
        <v>9781783748051</v>
      </c>
    </row>
    <row r="4594" spans="1:4" ht="30" x14ac:dyDescent="0.25">
      <c r="A4594" s="7" t="s">
        <v>10585</v>
      </c>
      <c r="B4594" s="8" t="s">
        <v>10586</v>
      </c>
      <c r="C4594" s="8" t="s">
        <v>993</v>
      </c>
      <c r="D4594" s="8" t="str">
        <f>"9783839460740"</f>
        <v>9783839460740</v>
      </c>
    </row>
    <row r="4595" spans="1:4" x14ac:dyDescent="0.25">
      <c r="A4595" s="7" t="s">
        <v>7187</v>
      </c>
      <c r="B4595" s="8" t="s">
        <v>7188</v>
      </c>
      <c r="C4595" s="8" t="s">
        <v>329</v>
      </c>
      <c r="D4595" s="8" t="str">
        <f>"9789048550234"</f>
        <v>9789048550234</v>
      </c>
    </row>
    <row r="4596" spans="1:4" x14ac:dyDescent="0.25">
      <c r="A4596" s="7" t="s">
        <v>3218</v>
      </c>
      <c r="B4596" s="8" t="s">
        <v>3219</v>
      </c>
      <c r="C4596" s="8" t="s">
        <v>1962</v>
      </c>
      <c r="D4596" s="8" t="str">
        <f>"9782759227310"</f>
        <v>9782759227310</v>
      </c>
    </row>
    <row r="4597" spans="1:4" ht="30" x14ac:dyDescent="0.25">
      <c r="A4597" s="7" t="s">
        <v>14288</v>
      </c>
      <c r="B4597" s="8" t="s">
        <v>14289</v>
      </c>
      <c r="C4597" s="8" t="s">
        <v>2274</v>
      </c>
      <c r="D4597" s="8" t="str">
        <f>"9789811979859"</f>
        <v>9789811979859</v>
      </c>
    </row>
    <row r="4598" spans="1:4" ht="30" x14ac:dyDescent="0.25">
      <c r="A4598" s="7" t="s">
        <v>15764</v>
      </c>
      <c r="B4598" s="8" t="s">
        <v>15765</v>
      </c>
      <c r="C4598" s="8" t="s">
        <v>1865</v>
      </c>
      <c r="D4598" s="8" t="str">
        <f>"9789175196459"</f>
        <v>9789175196459</v>
      </c>
    </row>
    <row r="4599" spans="1:4" x14ac:dyDescent="0.25">
      <c r="A4599" s="7" t="s">
        <v>11543</v>
      </c>
      <c r="B4599" s="8" t="s">
        <v>11544</v>
      </c>
      <c r="C4599" s="8" t="s">
        <v>316</v>
      </c>
      <c r="D4599" s="8" t="str">
        <f>"9783110591484"</f>
        <v>9783110591484</v>
      </c>
    </row>
    <row r="4600" spans="1:4" x14ac:dyDescent="0.25">
      <c r="A4600" s="7" t="s">
        <v>15394</v>
      </c>
      <c r="B4600" s="8" t="s">
        <v>15395</v>
      </c>
      <c r="C4600" s="8" t="s">
        <v>1865</v>
      </c>
      <c r="D4600" s="8" t="str">
        <f>"9789176850671"</f>
        <v>9789176850671</v>
      </c>
    </row>
    <row r="4601" spans="1:4" x14ac:dyDescent="0.25">
      <c r="A4601" s="7" t="s">
        <v>7374</v>
      </c>
      <c r="B4601" s="8" t="s">
        <v>7375</v>
      </c>
      <c r="C4601" s="8" t="s">
        <v>1865</v>
      </c>
      <c r="D4601" s="8" t="str">
        <f>"9789179296209"</f>
        <v>9789179296209</v>
      </c>
    </row>
    <row r="4602" spans="1:4" ht="30" x14ac:dyDescent="0.25">
      <c r="A4602" s="7" t="s">
        <v>14744</v>
      </c>
      <c r="B4602" s="8" t="s">
        <v>14745</v>
      </c>
      <c r="C4602" s="8" t="s">
        <v>355</v>
      </c>
      <c r="D4602" s="8" t="str">
        <f>"9783110798098"</f>
        <v>9783110798098</v>
      </c>
    </row>
    <row r="4603" spans="1:4" x14ac:dyDescent="0.25">
      <c r="A4603" s="7" t="s">
        <v>6902</v>
      </c>
      <c r="B4603" s="8" t="s">
        <v>6903</v>
      </c>
      <c r="C4603" s="8" t="s">
        <v>1865</v>
      </c>
      <c r="D4603" s="8" t="str">
        <f>"9789179296308"</f>
        <v>9789179296308</v>
      </c>
    </row>
    <row r="4604" spans="1:4" x14ac:dyDescent="0.25">
      <c r="A4604" s="7" t="s">
        <v>7882</v>
      </c>
      <c r="B4604" s="8" t="s">
        <v>7883</v>
      </c>
      <c r="C4604" s="8" t="s">
        <v>4245</v>
      </c>
      <c r="D4604" s="8" t="str">
        <f>"9789811651380"</f>
        <v>9789811651380</v>
      </c>
    </row>
    <row r="4605" spans="1:4" x14ac:dyDescent="0.25">
      <c r="A4605" s="7" t="s">
        <v>15976</v>
      </c>
      <c r="B4605" s="8" t="s">
        <v>2475</v>
      </c>
      <c r="C4605" s="8" t="s">
        <v>1865</v>
      </c>
      <c r="D4605" s="8" t="str">
        <f>"9789175196633"</f>
        <v>9789175196633</v>
      </c>
    </row>
    <row r="4606" spans="1:4" x14ac:dyDescent="0.25">
      <c r="A4606" s="7" t="s">
        <v>10903</v>
      </c>
      <c r="B4606" s="8" t="s">
        <v>5628</v>
      </c>
      <c r="C4606" s="8" t="s">
        <v>4245</v>
      </c>
      <c r="D4606" s="8" t="str">
        <f>"9789811501814"</f>
        <v>9789811501814</v>
      </c>
    </row>
    <row r="4607" spans="1:4" x14ac:dyDescent="0.25">
      <c r="A4607" s="7" t="s">
        <v>11607</v>
      </c>
      <c r="B4607" s="8" t="s">
        <v>11608</v>
      </c>
      <c r="C4607" s="8" t="s">
        <v>355</v>
      </c>
      <c r="D4607" s="8" t="str">
        <f>"9783111665023"</f>
        <v>9783111665023</v>
      </c>
    </row>
    <row r="4608" spans="1:4" x14ac:dyDescent="0.25">
      <c r="A4608" s="7" t="s">
        <v>9421</v>
      </c>
      <c r="B4608" s="8" t="s">
        <v>9347</v>
      </c>
      <c r="C4608" s="8" t="s">
        <v>9256</v>
      </c>
      <c r="D4608" s="8" t="str">
        <f>"9788021098404"</f>
        <v>9788021098404</v>
      </c>
    </row>
    <row r="4609" spans="1:4" x14ac:dyDescent="0.25">
      <c r="A4609" s="7" t="s">
        <v>9420</v>
      </c>
      <c r="B4609" s="8" t="s">
        <v>9347</v>
      </c>
      <c r="C4609" s="8" t="s">
        <v>9256</v>
      </c>
      <c r="D4609" s="8" t="str">
        <f>"9788021098398"</f>
        <v>9788021098398</v>
      </c>
    </row>
    <row r="4610" spans="1:4" x14ac:dyDescent="0.25">
      <c r="A4610" s="7" t="s">
        <v>2325</v>
      </c>
      <c r="B4610" s="8" t="s">
        <v>2326</v>
      </c>
      <c r="C4610" s="8" t="s">
        <v>316</v>
      </c>
      <c r="D4610" s="8" t="str">
        <f>"9783110345933"</f>
        <v>9783110345933</v>
      </c>
    </row>
    <row r="4611" spans="1:4" x14ac:dyDescent="0.25">
      <c r="A4611" s="7" t="s">
        <v>5051</v>
      </c>
      <c r="B4611" s="8" t="s">
        <v>4030</v>
      </c>
      <c r="C4611" s="8" t="s">
        <v>355</v>
      </c>
      <c r="D4611" s="8" t="str">
        <f>"9783110696479"</f>
        <v>9783110696479</v>
      </c>
    </row>
    <row r="4612" spans="1:4" ht="30" x14ac:dyDescent="0.25">
      <c r="A4612" s="7" t="s">
        <v>9629</v>
      </c>
      <c r="B4612" s="8" t="s">
        <v>6897</v>
      </c>
      <c r="C4612" s="8" t="s">
        <v>2273</v>
      </c>
      <c r="D4612" s="8" t="str">
        <f>"9783030848873"</f>
        <v>9783030848873</v>
      </c>
    </row>
    <row r="4613" spans="1:4" ht="30" x14ac:dyDescent="0.25">
      <c r="A4613" s="7" t="s">
        <v>15009</v>
      </c>
      <c r="B4613" s="8" t="s">
        <v>3748</v>
      </c>
      <c r="C4613" s="8" t="s">
        <v>1865</v>
      </c>
      <c r="D4613" s="8" t="str">
        <f>"9789175195803"</f>
        <v>9789175195803</v>
      </c>
    </row>
    <row r="4614" spans="1:4" ht="30" x14ac:dyDescent="0.25">
      <c r="A4614" s="7" t="s">
        <v>3747</v>
      </c>
      <c r="B4614" s="8" t="s">
        <v>3748</v>
      </c>
      <c r="C4614" s="8" t="s">
        <v>1865</v>
      </c>
      <c r="D4614" s="8" t="str">
        <f>"9789176853290"</f>
        <v>9789176853290</v>
      </c>
    </row>
    <row r="4615" spans="1:4" x14ac:dyDescent="0.25">
      <c r="A4615" s="7" t="s">
        <v>16298</v>
      </c>
      <c r="B4615" s="8" t="s">
        <v>16299</v>
      </c>
      <c r="C4615" s="8" t="s">
        <v>1865</v>
      </c>
      <c r="D4615" s="8" t="str">
        <f>"9789175197692"</f>
        <v>9789175197692</v>
      </c>
    </row>
    <row r="4616" spans="1:4" x14ac:dyDescent="0.25">
      <c r="A4616" s="7" t="s">
        <v>15826</v>
      </c>
      <c r="B4616" s="8" t="s">
        <v>15827</v>
      </c>
      <c r="C4616" s="8" t="s">
        <v>1865</v>
      </c>
      <c r="D4616" s="8" t="str">
        <f>"9789175199702"</f>
        <v>9789175199702</v>
      </c>
    </row>
    <row r="4617" spans="1:4" x14ac:dyDescent="0.25">
      <c r="A4617" s="7" t="s">
        <v>14432</v>
      </c>
      <c r="B4617" s="8" t="s">
        <v>14433</v>
      </c>
      <c r="C4617" s="8" t="s">
        <v>1865</v>
      </c>
      <c r="D4617" s="8" t="str">
        <f>"9789179293116"</f>
        <v>9789179293116</v>
      </c>
    </row>
    <row r="4618" spans="1:4" ht="30" x14ac:dyDescent="0.25">
      <c r="A4618" s="7" t="s">
        <v>1581</v>
      </c>
      <c r="B4618" s="8" t="s">
        <v>1582</v>
      </c>
      <c r="C4618" s="8" t="s">
        <v>1345</v>
      </c>
      <c r="D4618" s="8" t="str">
        <f>"9783862193998"</f>
        <v>9783862193998</v>
      </c>
    </row>
    <row r="4619" spans="1:4" x14ac:dyDescent="0.25">
      <c r="A4619" s="7" t="s">
        <v>7368</v>
      </c>
      <c r="B4619" s="8" t="s">
        <v>7369</v>
      </c>
      <c r="C4619" s="8" t="s">
        <v>5086</v>
      </c>
      <c r="D4619" s="8" t="str">
        <f>"9783658342258"</f>
        <v>9783658342258</v>
      </c>
    </row>
    <row r="4620" spans="1:4" x14ac:dyDescent="0.25">
      <c r="A4620" s="7" t="s">
        <v>12738</v>
      </c>
      <c r="B4620" s="8" t="s">
        <v>12716</v>
      </c>
      <c r="C4620" s="8" t="s">
        <v>12712</v>
      </c>
      <c r="D4620" s="8" t="str">
        <f>"9783428408450"</f>
        <v>9783428408450</v>
      </c>
    </row>
    <row r="4621" spans="1:4" ht="30" x14ac:dyDescent="0.25">
      <c r="A4621" s="7" t="s">
        <v>12782</v>
      </c>
      <c r="B4621" s="8" t="s">
        <v>12783</v>
      </c>
      <c r="C4621" s="8" t="s">
        <v>12712</v>
      </c>
      <c r="D4621" s="8" t="str">
        <f>"9783428420438"</f>
        <v>9783428420438</v>
      </c>
    </row>
    <row r="4622" spans="1:4" x14ac:dyDescent="0.25">
      <c r="A4622" s="7" t="s">
        <v>14589</v>
      </c>
      <c r="B4622" s="8" t="s">
        <v>14590</v>
      </c>
      <c r="C4622" s="8" t="s">
        <v>1865</v>
      </c>
      <c r="D4622" s="8" t="str">
        <f>"9789179293703"</f>
        <v>9789179293703</v>
      </c>
    </row>
    <row r="4623" spans="1:4" x14ac:dyDescent="0.25">
      <c r="A4623" s="7" t="s">
        <v>12267</v>
      </c>
      <c r="B4623" s="8" t="s">
        <v>12268</v>
      </c>
      <c r="C4623" s="8" t="s">
        <v>993</v>
      </c>
      <c r="D4623" s="8" t="str">
        <f>"9783839456842"</f>
        <v>9783839456842</v>
      </c>
    </row>
    <row r="4624" spans="1:4" x14ac:dyDescent="0.25">
      <c r="A4624" s="7" t="s">
        <v>15725</v>
      </c>
      <c r="B4624" s="8" t="s">
        <v>15726</v>
      </c>
      <c r="C4624" s="8" t="s">
        <v>1865</v>
      </c>
      <c r="D4624" s="8" t="str">
        <f>"9789185895526"</f>
        <v>9789185895526</v>
      </c>
    </row>
    <row r="4625" spans="1:4" ht="30" x14ac:dyDescent="0.25">
      <c r="A4625" s="7" t="s">
        <v>1846</v>
      </c>
      <c r="B4625" s="8" t="s">
        <v>1847</v>
      </c>
      <c r="C4625" s="8" t="s">
        <v>1345</v>
      </c>
      <c r="D4625" s="8" t="str">
        <f>"9783862198375"</f>
        <v>9783862198375</v>
      </c>
    </row>
    <row r="4626" spans="1:4" x14ac:dyDescent="0.25">
      <c r="A4626" s="7" t="s">
        <v>5764</v>
      </c>
      <c r="B4626" s="8" t="s">
        <v>5765</v>
      </c>
      <c r="C4626" s="8" t="s">
        <v>2273</v>
      </c>
      <c r="D4626" s="8" t="str">
        <f>"9783319632957"</f>
        <v>9783319632957</v>
      </c>
    </row>
    <row r="4627" spans="1:4" x14ac:dyDescent="0.25">
      <c r="A4627" s="7" t="s">
        <v>9870</v>
      </c>
      <c r="B4627" s="8" t="s">
        <v>9871</v>
      </c>
      <c r="C4627" s="8" t="s">
        <v>993</v>
      </c>
      <c r="D4627" s="8" t="str">
        <f>"9783839406960"</f>
        <v>9783839406960</v>
      </c>
    </row>
    <row r="4628" spans="1:4" ht="30" x14ac:dyDescent="0.25">
      <c r="A4628" s="7" t="s">
        <v>16019</v>
      </c>
      <c r="B4628" s="8" t="s">
        <v>6355</v>
      </c>
      <c r="C4628" s="8" t="s">
        <v>1865</v>
      </c>
      <c r="D4628" s="8" t="str">
        <f>"9789176851517"</f>
        <v>9789176851517</v>
      </c>
    </row>
    <row r="4629" spans="1:4" x14ac:dyDescent="0.25">
      <c r="A4629" s="7" t="s">
        <v>6354</v>
      </c>
      <c r="B4629" s="8" t="s">
        <v>6355</v>
      </c>
      <c r="C4629" s="8" t="s">
        <v>1865</v>
      </c>
      <c r="D4629" s="8" t="str">
        <f>"9789179297435"</f>
        <v>9789179297435</v>
      </c>
    </row>
    <row r="4630" spans="1:4" ht="30" x14ac:dyDescent="0.25">
      <c r="A4630" s="7" t="s">
        <v>3487</v>
      </c>
      <c r="B4630" s="8" t="s">
        <v>3488</v>
      </c>
      <c r="C4630" s="8" t="s">
        <v>1879</v>
      </c>
      <c r="D4630" s="8" t="str">
        <f>"9781783743858"</f>
        <v>9781783743858</v>
      </c>
    </row>
    <row r="4631" spans="1:4" ht="30" x14ac:dyDescent="0.25">
      <c r="A4631" s="7" t="s">
        <v>12225</v>
      </c>
      <c r="B4631" s="8" t="s">
        <v>12226</v>
      </c>
      <c r="C4631" s="8" t="s">
        <v>2785</v>
      </c>
      <c r="D4631" s="8" t="str">
        <f>"9789811919503"</f>
        <v>9789811919503</v>
      </c>
    </row>
    <row r="4632" spans="1:4" x14ac:dyDescent="0.25">
      <c r="A4632" s="7" t="s">
        <v>1507</v>
      </c>
      <c r="B4632" s="8" t="s">
        <v>1508</v>
      </c>
      <c r="C4632" s="8" t="s">
        <v>1345</v>
      </c>
      <c r="D4632" s="8" t="str">
        <f>"9783862194438"</f>
        <v>9783862194438</v>
      </c>
    </row>
    <row r="4633" spans="1:4" x14ac:dyDescent="0.25">
      <c r="A4633" s="7" t="s">
        <v>3588</v>
      </c>
      <c r="B4633" s="8" t="s">
        <v>3589</v>
      </c>
      <c r="C4633" s="8" t="s">
        <v>1865</v>
      </c>
      <c r="D4633" s="8" t="str">
        <f>"9789176853726"</f>
        <v>9789176853726</v>
      </c>
    </row>
    <row r="4634" spans="1:4" ht="30" x14ac:dyDescent="0.25">
      <c r="A4634" s="7" t="s">
        <v>6440</v>
      </c>
      <c r="B4634" s="8" t="s">
        <v>6441</v>
      </c>
      <c r="C4634" s="8" t="s">
        <v>1865</v>
      </c>
      <c r="D4634" s="8" t="str">
        <f>"9789179297091"</f>
        <v>9789179297091</v>
      </c>
    </row>
    <row r="4635" spans="1:4" ht="30" x14ac:dyDescent="0.25">
      <c r="A4635" s="7" t="s">
        <v>14040</v>
      </c>
      <c r="B4635" s="8" t="s">
        <v>14041</v>
      </c>
      <c r="C4635" s="8" t="s">
        <v>13997</v>
      </c>
      <c r="D4635" s="8" t="str">
        <f>"9789568416461"</f>
        <v>9789568416461</v>
      </c>
    </row>
    <row r="4636" spans="1:4" ht="30" x14ac:dyDescent="0.25">
      <c r="A4636" s="7" t="s">
        <v>14007</v>
      </c>
      <c r="B4636" s="8" t="s">
        <v>14008</v>
      </c>
      <c r="C4636" s="8" t="s">
        <v>13997</v>
      </c>
      <c r="D4636" s="8" t="str">
        <f>"9789566095125"</f>
        <v>9789566095125</v>
      </c>
    </row>
    <row r="4637" spans="1:4" x14ac:dyDescent="0.25">
      <c r="A4637" s="7" t="s">
        <v>7914</v>
      </c>
      <c r="B4637" s="8" t="s">
        <v>7915</v>
      </c>
      <c r="C4637" s="8" t="s">
        <v>1865</v>
      </c>
      <c r="D4637" s="8" t="str">
        <f>"9789179290344"</f>
        <v>9789179290344</v>
      </c>
    </row>
    <row r="4638" spans="1:4" x14ac:dyDescent="0.25">
      <c r="A4638" s="7" t="s">
        <v>4147</v>
      </c>
      <c r="B4638" s="8" t="s">
        <v>4148</v>
      </c>
      <c r="C4638" s="8" t="s">
        <v>1865</v>
      </c>
      <c r="D4638" s="8" t="str">
        <f>"9789176852606"</f>
        <v>9789176852606</v>
      </c>
    </row>
    <row r="4639" spans="1:4" ht="30" x14ac:dyDescent="0.25">
      <c r="A4639" s="7" t="s">
        <v>15156</v>
      </c>
      <c r="B4639" s="8" t="s">
        <v>15157</v>
      </c>
      <c r="C4639" s="8" t="s">
        <v>1865</v>
      </c>
      <c r="D4639" s="8" t="str">
        <f>"9789176859728"</f>
        <v>9789176859728</v>
      </c>
    </row>
    <row r="4640" spans="1:4" x14ac:dyDescent="0.25">
      <c r="A4640" s="7" t="s">
        <v>10975</v>
      </c>
      <c r="B4640" s="8" t="s">
        <v>10976</v>
      </c>
      <c r="C4640" s="8" t="s">
        <v>9138</v>
      </c>
      <c r="D4640" s="8" t="str">
        <f>"9780520973152"</f>
        <v>9780520973152</v>
      </c>
    </row>
    <row r="4641" spans="1:4" x14ac:dyDescent="0.25">
      <c r="A4641" s="7" t="s">
        <v>416</v>
      </c>
      <c r="B4641" s="8" t="s">
        <v>417</v>
      </c>
      <c r="C4641" s="8" t="s">
        <v>227</v>
      </c>
      <c r="D4641" s="8" t="str">
        <f>"9781847790675"</f>
        <v>9781847790675</v>
      </c>
    </row>
    <row r="4642" spans="1:4" x14ac:dyDescent="0.25">
      <c r="A4642" s="7" t="s">
        <v>4511</v>
      </c>
      <c r="B4642" s="8" t="s">
        <v>50</v>
      </c>
      <c r="C4642" s="8" t="s">
        <v>1879</v>
      </c>
      <c r="D4642" s="8" t="str">
        <f>"9781783747405"</f>
        <v>9781783747405</v>
      </c>
    </row>
    <row r="4643" spans="1:4" x14ac:dyDescent="0.25">
      <c r="A4643" s="7" t="s">
        <v>3337</v>
      </c>
      <c r="B4643" s="8" t="s">
        <v>3338</v>
      </c>
      <c r="C4643" s="8" t="s">
        <v>1879</v>
      </c>
      <c r="D4643" s="8" t="str">
        <f>"9781783743506"</f>
        <v>9781783743506</v>
      </c>
    </row>
    <row r="4644" spans="1:4" ht="30" x14ac:dyDescent="0.25">
      <c r="A4644" s="7" t="s">
        <v>15882</v>
      </c>
      <c r="B4644" s="8" t="s">
        <v>15883</v>
      </c>
      <c r="C4644" s="8" t="s">
        <v>1865</v>
      </c>
      <c r="D4644" s="8" t="str">
        <f>"9789175190518"</f>
        <v>9789175190518</v>
      </c>
    </row>
    <row r="4645" spans="1:4" ht="30" x14ac:dyDescent="0.25">
      <c r="A4645" s="7" t="s">
        <v>15565</v>
      </c>
      <c r="B4645" s="8" t="s">
        <v>6447</v>
      </c>
      <c r="C4645" s="8" t="s">
        <v>1865</v>
      </c>
      <c r="D4645" s="8" t="str">
        <f>"9789175197272"</f>
        <v>9789175197272</v>
      </c>
    </row>
    <row r="4646" spans="1:4" ht="30" x14ac:dyDescent="0.25">
      <c r="A4646" s="7" t="s">
        <v>5926</v>
      </c>
      <c r="B4646" s="8" t="s">
        <v>5927</v>
      </c>
      <c r="C4646" s="8" t="s">
        <v>2273</v>
      </c>
      <c r="D4646" s="8" t="str">
        <f>"9783319162591"</f>
        <v>9783319162591</v>
      </c>
    </row>
    <row r="4647" spans="1:4" ht="30" x14ac:dyDescent="0.25">
      <c r="A4647" s="7" t="s">
        <v>14871</v>
      </c>
      <c r="B4647" s="8" t="s">
        <v>14872</v>
      </c>
      <c r="C4647" s="8" t="s">
        <v>1865</v>
      </c>
      <c r="D4647" s="8" t="str">
        <f>"9789176857007"</f>
        <v>9789176857007</v>
      </c>
    </row>
    <row r="4648" spans="1:4" x14ac:dyDescent="0.25">
      <c r="A4648" s="7" t="s">
        <v>15005</v>
      </c>
      <c r="B4648" s="8" t="s">
        <v>15006</v>
      </c>
      <c r="C4648" s="8" t="s">
        <v>1865</v>
      </c>
      <c r="D4648" s="8" t="str">
        <f>"9789175194462"</f>
        <v>9789175194462</v>
      </c>
    </row>
    <row r="4649" spans="1:4" x14ac:dyDescent="0.25">
      <c r="A4649" s="7" t="s">
        <v>14959</v>
      </c>
      <c r="B4649" s="8" t="s">
        <v>14960</v>
      </c>
      <c r="C4649" s="8" t="s">
        <v>1865</v>
      </c>
      <c r="D4649" s="8" t="str">
        <f>"9789179299743"</f>
        <v>9789179299743</v>
      </c>
    </row>
    <row r="4650" spans="1:4" x14ac:dyDescent="0.25">
      <c r="A4650" s="7" t="s">
        <v>2506</v>
      </c>
      <c r="B4650" s="8" t="s">
        <v>2507</v>
      </c>
      <c r="C4650" s="8" t="s">
        <v>1865</v>
      </c>
      <c r="D4650" s="8" t="str">
        <f>"9789176858905"</f>
        <v>9789176858905</v>
      </c>
    </row>
    <row r="4651" spans="1:4" ht="45" x14ac:dyDescent="0.25">
      <c r="A4651" s="7" t="s">
        <v>13286</v>
      </c>
      <c r="B4651" s="8" t="s">
        <v>13287</v>
      </c>
      <c r="C4651" s="8" t="s">
        <v>12712</v>
      </c>
      <c r="D4651" s="8" t="str">
        <f>"9783428574483"</f>
        <v>9783428574483</v>
      </c>
    </row>
    <row r="4652" spans="1:4" x14ac:dyDescent="0.25">
      <c r="A4652" s="7" t="s">
        <v>903</v>
      </c>
      <c r="B4652" s="8" t="s">
        <v>904</v>
      </c>
      <c r="C4652" s="8" t="s">
        <v>316</v>
      </c>
      <c r="D4652" s="8" t="str">
        <f>"9783110367430"</f>
        <v>9783110367430</v>
      </c>
    </row>
    <row r="4653" spans="1:4" x14ac:dyDescent="0.25">
      <c r="A4653" s="7" t="s">
        <v>4616</v>
      </c>
      <c r="B4653" s="8" t="s">
        <v>4617</v>
      </c>
      <c r="C4653" s="8" t="s">
        <v>993</v>
      </c>
      <c r="D4653" s="8" t="str">
        <f>"9783839447307"</f>
        <v>9783839447307</v>
      </c>
    </row>
    <row r="4654" spans="1:4" x14ac:dyDescent="0.25">
      <c r="A4654" s="7" t="s">
        <v>16378</v>
      </c>
      <c r="B4654" s="8" t="s">
        <v>16379</v>
      </c>
      <c r="C4654" s="8" t="s">
        <v>1865</v>
      </c>
      <c r="D4654" s="8" t="str">
        <f>"9789175199481"</f>
        <v>9789175199481</v>
      </c>
    </row>
    <row r="4655" spans="1:4" x14ac:dyDescent="0.25">
      <c r="A4655" s="7" t="s">
        <v>377</v>
      </c>
      <c r="B4655" s="8" t="s">
        <v>378</v>
      </c>
      <c r="C4655" s="8" t="s">
        <v>227</v>
      </c>
      <c r="D4655" s="8" t="str">
        <f>"9781847790620"</f>
        <v>9781847790620</v>
      </c>
    </row>
    <row r="4656" spans="1:4" x14ac:dyDescent="0.25">
      <c r="A4656" s="7" t="s">
        <v>16381</v>
      </c>
      <c r="B4656" s="8" t="s">
        <v>16382</v>
      </c>
      <c r="C4656" s="8" t="s">
        <v>1865</v>
      </c>
      <c r="D4656" s="8" t="str">
        <f>"9789173939409"</f>
        <v>9789173939409</v>
      </c>
    </row>
    <row r="4657" spans="1:4" x14ac:dyDescent="0.25">
      <c r="A4657" s="7" t="s">
        <v>15357</v>
      </c>
      <c r="B4657" s="8" t="s">
        <v>15358</v>
      </c>
      <c r="C4657" s="8" t="s">
        <v>1865</v>
      </c>
      <c r="D4657" s="8" t="str">
        <f>"9789175198033"</f>
        <v>9789175198033</v>
      </c>
    </row>
    <row r="4658" spans="1:4" ht="30" x14ac:dyDescent="0.25">
      <c r="A4658" s="7" t="s">
        <v>2456</v>
      </c>
      <c r="B4658" s="8" t="s">
        <v>2457</v>
      </c>
      <c r="C4658" s="8" t="s">
        <v>1865</v>
      </c>
      <c r="D4658" s="8" t="str">
        <f>"9789176858974"</f>
        <v>9789176858974</v>
      </c>
    </row>
    <row r="4659" spans="1:4" ht="30" x14ac:dyDescent="0.25">
      <c r="A4659" s="7" t="s">
        <v>14225</v>
      </c>
      <c r="B4659" s="8" t="s">
        <v>14226</v>
      </c>
      <c r="C4659" s="8" t="s">
        <v>9256</v>
      </c>
      <c r="D4659" s="8" t="str">
        <f>"9788028001773"</f>
        <v>9788028001773</v>
      </c>
    </row>
    <row r="4660" spans="1:4" x14ac:dyDescent="0.25">
      <c r="A4660" s="7" t="s">
        <v>13982</v>
      </c>
      <c r="B4660" s="8" t="s">
        <v>13983</v>
      </c>
      <c r="C4660" s="8" t="s">
        <v>2273</v>
      </c>
      <c r="D4660" s="8" t="str">
        <f>"9783031162480"</f>
        <v>9783031162480</v>
      </c>
    </row>
    <row r="4661" spans="1:4" ht="30" x14ac:dyDescent="0.25">
      <c r="A4661" s="7" t="s">
        <v>6349</v>
      </c>
      <c r="B4661" s="8" t="s">
        <v>6350</v>
      </c>
      <c r="C4661" s="8" t="s">
        <v>5134</v>
      </c>
      <c r="D4661" s="8" t="str">
        <f>"9783662627464"</f>
        <v>9783662627464</v>
      </c>
    </row>
    <row r="4662" spans="1:4" x14ac:dyDescent="0.25">
      <c r="A4662" s="7" t="s">
        <v>4798</v>
      </c>
      <c r="B4662" s="8" t="s">
        <v>4799</v>
      </c>
      <c r="C4662" s="8" t="s">
        <v>1865</v>
      </c>
      <c r="D4662" s="8" t="str">
        <f>"9789179299231"</f>
        <v>9789179299231</v>
      </c>
    </row>
    <row r="4663" spans="1:4" ht="30" x14ac:dyDescent="0.25">
      <c r="A4663" s="7" t="s">
        <v>4218</v>
      </c>
      <c r="B4663" s="8" t="s">
        <v>4219</v>
      </c>
      <c r="C4663" s="8" t="s">
        <v>1865</v>
      </c>
      <c r="D4663" s="8" t="str">
        <f>"9789176851616"</f>
        <v>9789176851616</v>
      </c>
    </row>
    <row r="4664" spans="1:4" x14ac:dyDescent="0.25">
      <c r="A4664" s="7" t="s">
        <v>3729</v>
      </c>
      <c r="B4664" s="8" t="s">
        <v>3730</v>
      </c>
      <c r="C4664" s="8" t="s">
        <v>1865</v>
      </c>
      <c r="D4664" s="8" t="str">
        <f>"9789176853061"</f>
        <v>9789176853061</v>
      </c>
    </row>
    <row r="4665" spans="1:4" ht="30" x14ac:dyDescent="0.25">
      <c r="A4665" s="7" t="s">
        <v>6657</v>
      </c>
      <c r="B4665" s="8" t="s">
        <v>2087</v>
      </c>
      <c r="C4665" s="8" t="s">
        <v>1224</v>
      </c>
      <c r="D4665" s="8" t="str">
        <f>"9781618119087"</f>
        <v>9781618119087</v>
      </c>
    </row>
    <row r="4666" spans="1:4" x14ac:dyDescent="0.25">
      <c r="A4666" s="7" t="s">
        <v>11550</v>
      </c>
      <c r="B4666" s="8" t="s">
        <v>11551</v>
      </c>
      <c r="C4666" s="8" t="s">
        <v>355</v>
      </c>
      <c r="D4666" s="8" t="str">
        <f>"9783486772548"</f>
        <v>9783486772548</v>
      </c>
    </row>
    <row r="4667" spans="1:4" x14ac:dyDescent="0.25">
      <c r="A4667" s="7" t="s">
        <v>8646</v>
      </c>
      <c r="B4667" s="8" t="s">
        <v>8647</v>
      </c>
      <c r="C4667" s="8" t="s">
        <v>2273</v>
      </c>
      <c r="D4667" s="8" t="str">
        <f>"9783030714574"</f>
        <v>9783030714574</v>
      </c>
    </row>
    <row r="4668" spans="1:4" x14ac:dyDescent="0.25">
      <c r="A4668" s="7" t="s">
        <v>647</v>
      </c>
      <c r="B4668" s="8" t="s">
        <v>648</v>
      </c>
      <c r="C4668" s="8" t="s">
        <v>562</v>
      </c>
      <c r="D4668" s="8" t="str">
        <f>"9780822399063"</f>
        <v>9780822399063</v>
      </c>
    </row>
    <row r="4669" spans="1:4" ht="30" x14ac:dyDescent="0.25">
      <c r="A4669" s="7" t="s">
        <v>928</v>
      </c>
      <c r="B4669" s="8" t="s">
        <v>929</v>
      </c>
      <c r="C4669" s="8" t="s">
        <v>355</v>
      </c>
      <c r="D4669" s="8" t="str">
        <f>"9788376560175"</f>
        <v>9788376560175</v>
      </c>
    </row>
    <row r="4670" spans="1:4" x14ac:dyDescent="0.25">
      <c r="A4670" s="7" t="s">
        <v>13644</v>
      </c>
      <c r="B4670" s="8" t="s">
        <v>13645</v>
      </c>
      <c r="C4670" s="8" t="s">
        <v>2273</v>
      </c>
      <c r="D4670" s="8" t="str">
        <f>"9783031086083"</f>
        <v>9783031086083</v>
      </c>
    </row>
    <row r="4671" spans="1:4" x14ac:dyDescent="0.25">
      <c r="A4671" s="7" t="s">
        <v>11877</v>
      </c>
      <c r="B4671" s="8" t="s">
        <v>11878</v>
      </c>
      <c r="C4671" s="8" t="s">
        <v>355</v>
      </c>
      <c r="D4671" s="8" t="str">
        <f>"9783110569636"</f>
        <v>9783110569636</v>
      </c>
    </row>
    <row r="4672" spans="1:4" ht="30" x14ac:dyDescent="0.25">
      <c r="A4672" s="7" t="s">
        <v>3417</v>
      </c>
      <c r="B4672" s="8" t="s">
        <v>3418</v>
      </c>
      <c r="C4672" s="8" t="s">
        <v>1865</v>
      </c>
      <c r="D4672" s="8" t="str">
        <f>"9789176854310"</f>
        <v>9789176854310</v>
      </c>
    </row>
    <row r="4673" spans="1:4" ht="30" x14ac:dyDescent="0.25">
      <c r="A4673" s="7" t="s">
        <v>15810</v>
      </c>
      <c r="B4673" s="8" t="s">
        <v>15811</v>
      </c>
      <c r="C4673" s="8" t="s">
        <v>1865</v>
      </c>
      <c r="D4673" s="8" t="str">
        <f>"9789176857427"</f>
        <v>9789176857427</v>
      </c>
    </row>
    <row r="4674" spans="1:4" ht="30" x14ac:dyDescent="0.25">
      <c r="A4674" s="7" t="s">
        <v>6634</v>
      </c>
      <c r="B4674" s="8" t="s">
        <v>6635</v>
      </c>
      <c r="C4674" s="8" t="s">
        <v>2273</v>
      </c>
      <c r="D4674" s="8" t="str">
        <f>"9783030646233"</f>
        <v>9783030646233</v>
      </c>
    </row>
    <row r="4675" spans="1:4" x14ac:dyDescent="0.25">
      <c r="A4675" s="7" t="s">
        <v>5055</v>
      </c>
      <c r="B4675" s="8" t="s">
        <v>5056</v>
      </c>
      <c r="C4675" s="8" t="s">
        <v>1865</v>
      </c>
      <c r="D4675" s="8" t="str">
        <f>"9789179298838"</f>
        <v>9789179298838</v>
      </c>
    </row>
    <row r="4676" spans="1:4" x14ac:dyDescent="0.25">
      <c r="A4676" s="7" t="s">
        <v>15900</v>
      </c>
      <c r="B4676" s="8" t="s">
        <v>15901</v>
      </c>
      <c r="C4676" s="8" t="s">
        <v>1865</v>
      </c>
      <c r="D4676" s="8" t="str">
        <f>"9789175197821"</f>
        <v>9789175197821</v>
      </c>
    </row>
    <row r="4677" spans="1:4" x14ac:dyDescent="0.25">
      <c r="A4677" s="7" t="s">
        <v>15331</v>
      </c>
      <c r="B4677" s="8" t="s">
        <v>15332</v>
      </c>
      <c r="C4677" s="8" t="s">
        <v>1865</v>
      </c>
      <c r="D4677" s="8" t="str">
        <f>"9789176854396"</f>
        <v>9789176854396</v>
      </c>
    </row>
    <row r="4678" spans="1:4" ht="30" x14ac:dyDescent="0.25">
      <c r="A4678" s="7" t="s">
        <v>15189</v>
      </c>
      <c r="B4678" s="8" t="s">
        <v>15190</v>
      </c>
      <c r="C4678" s="8" t="s">
        <v>1865</v>
      </c>
      <c r="D4678" s="8" t="str">
        <f>"9789176858318"</f>
        <v>9789176858318</v>
      </c>
    </row>
    <row r="4679" spans="1:4" x14ac:dyDescent="0.25">
      <c r="A4679" s="7" t="s">
        <v>1042</v>
      </c>
      <c r="B4679" s="8" t="s">
        <v>1043</v>
      </c>
      <c r="C4679" s="8" t="s">
        <v>316</v>
      </c>
      <c r="D4679" s="8" t="str">
        <f>"9783110415230"</f>
        <v>9783110415230</v>
      </c>
    </row>
    <row r="4680" spans="1:4" x14ac:dyDescent="0.25">
      <c r="A4680" s="7" t="s">
        <v>278</v>
      </c>
      <c r="B4680" s="8" t="s">
        <v>279</v>
      </c>
      <c r="C4680" s="8" t="s">
        <v>227</v>
      </c>
      <c r="D4680" s="8" t="str">
        <f>"9781847790507"</f>
        <v>9781847790507</v>
      </c>
    </row>
    <row r="4681" spans="1:4" x14ac:dyDescent="0.25">
      <c r="A4681" s="7" t="s">
        <v>4199</v>
      </c>
      <c r="B4681" s="8" t="s">
        <v>4200</v>
      </c>
      <c r="C4681" s="8" t="s">
        <v>1865</v>
      </c>
      <c r="D4681" s="8" t="str">
        <f>"9789176851760"</f>
        <v>9789176851760</v>
      </c>
    </row>
    <row r="4682" spans="1:4" x14ac:dyDescent="0.25">
      <c r="A4682" s="7" t="s">
        <v>822</v>
      </c>
      <c r="B4682" s="8" t="s">
        <v>821</v>
      </c>
      <c r="C4682" s="8" t="s">
        <v>355</v>
      </c>
      <c r="D4682" s="8" t="str">
        <f>"9788376560762"</f>
        <v>9788376560762</v>
      </c>
    </row>
    <row r="4683" spans="1:4" x14ac:dyDescent="0.25">
      <c r="A4683" s="7" t="s">
        <v>823</v>
      </c>
      <c r="B4683" s="8" t="s">
        <v>821</v>
      </c>
      <c r="C4683" s="8" t="s">
        <v>355</v>
      </c>
      <c r="D4683" s="8" t="str">
        <f>"9788376560885"</f>
        <v>9788376560885</v>
      </c>
    </row>
    <row r="4684" spans="1:4" x14ac:dyDescent="0.25">
      <c r="A4684" s="7" t="s">
        <v>820</v>
      </c>
      <c r="B4684" s="8" t="s">
        <v>821</v>
      </c>
      <c r="C4684" s="8" t="s">
        <v>355</v>
      </c>
      <c r="D4684" s="8" t="str">
        <f>"9788376560915"</f>
        <v>9788376560915</v>
      </c>
    </row>
    <row r="4685" spans="1:4" ht="30" x14ac:dyDescent="0.25">
      <c r="A4685" s="7" t="s">
        <v>13951</v>
      </c>
      <c r="B4685" s="8" t="s">
        <v>13952</v>
      </c>
      <c r="C4685" s="8" t="s">
        <v>2273</v>
      </c>
      <c r="D4685" s="8" t="str">
        <f>"9783031146459"</f>
        <v>9783031146459</v>
      </c>
    </row>
    <row r="4686" spans="1:4" x14ac:dyDescent="0.25">
      <c r="A4686" s="7" t="s">
        <v>4536</v>
      </c>
      <c r="B4686" s="8" t="s">
        <v>4537</v>
      </c>
      <c r="C4686" s="8" t="s">
        <v>1879</v>
      </c>
      <c r="D4686" s="8" t="str">
        <f>"9781783747122"</f>
        <v>9781783747122</v>
      </c>
    </row>
    <row r="4687" spans="1:4" ht="30" x14ac:dyDescent="0.25">
      <c r="A4687" s="7" t="s">
        <v>8847</v>
      </c>
      <c r="B4687" s="8" t="s">
        <v>8848</v>
      </c>
      <c r="C4687" s="8" t="s">
        <v>2273</v>
      </c>
      <c r="D4687" s="8" t="str">
        <f>"9783030770402"</f>
        <v>9783030770402</v>
      </c>
    </row>
    <row r="4688" spans="1:4" x14ac:dyDescent="0.25">
      <c r="A4688" s="7" t="s">
        <v>10792</v>
      </c>
      <c r="B4688" s="8" t="s">
        <v>10793</v>
      </c>
      <c r="C4688" s="8" t="s">
        <v>1876</v>
      </c>
      <c r="D4688" s="8" t="str">
        <f>"9781925377255"</f>
        <v>9781925377255</v>
      </c>
    </row>
    <row r="4689" spans="1:4" ht="30" x14ac:dyDescent="0.25">
      <c r="A4689" s="7" t="s">
        <v>3352</v>
      </c>
      <c r="B4689" s="8" t="s">
        <v>3353</v>
      </c>
      <c r="C4689" s="8" t="s">
        <v>1865</v>
      </c>
      <c r="D4689" s="8" t="str">
        <f>"9789176854068"</f>
        <v>9789176854068</v>
      </c>
    </row>
    <row r="4690" spans="1:4" x14ac:dyDescent="0.25">
      <c r="A4690" s="7" t="s">
        <v>10847</v>
      </c>
      <c r="B4690" s="8" t="s">
        <v>10848</v>
      </c>
      <c r="C4690" s="8" t="s">
        <v>2273</v>
      </c>
      <c r="D4690" s="8" t="str">
        <f>"9783030855321"</f>
        <v>9783030855321</v>
      </c>
    </row>
    <row r="4691" spans="1:4" x14ac:dyDescent="0.25">
      <c r="A4691" s="7" t="s">
        <v>11295</v>
      </c>
      <c r="B4691" s="8" t="s">
        <v>11296</v>
      </c>
      <c r="C4691" s="8" t="s">
        <v>355</v>
      </c>
      <c r="D4691" s="8" t="str">
        <f>"9783110722093"</f>
        <v>9783110722093</v>
      </c>
    </row>
    <row r="4692" spans="1:4" ht="30" x14ac:dyDescent="0.25">
      <c r="A4692" s="7" t="s">
        <v>2866</v>
      </c>
      <c r="B4692" s="8" t="s">
        <v>2867</v>
      </c>
      <c r="C4692" s="8" t="s">
        <v>1865</v>
      </c>
      <c r="D4692" s="8" t="str">
        <f>"9789176856550"</f>
        <v>9789176856550</v>
      </c>
    </row>
    <row r="4693" spans="1:4" x14ac:dyDescent="0.25">
      <c r="A4693" s="7" t="s">
        <v>8210</v>
      </c>
      <c r="B4693" s="8" t="s">
        <v>8211</v>
      </c>
      <c r="C4693" s="8" t="s">
        <v>993</v>
      </c>
      <c r="D4693" s="8" t="str">
        <f>"9783839450161"</f>
        <v>9783839450161</v>
      </c>
    </row>
    <row r="4694" spans="1:4" x14ac:dyDescent="0.25">
      <c r="A4694" s="7" t="s">
        <v>6955</v>
      </c>
      <c r="B4694" s="8" t="s">
        <v>6956</v>
      </c>
      <c r="C4694" s="8" t="s">
        <v>2273</v>
      </c>
      <c r="D4694" s="8" t="str">
        <f>"9783030711238"</f>
        <v>9783030711238</v>
      </c>
    </row>
    <row r="4695" spans="1:4" x14ac:dyDescent="0.25">
      <c r="A4695" s="7" t="s">
        <v>13686</v>
      </c>
      <c r="B4695" s="8" t="s">
        <v>13687</v>
      </c>
      <c r="C4695" s="8" t="s">
        <v>2273</v>
      </c>
      <c r="D4695" s="8" t="str">
        <f>"9783031008245"</f>
        <v>9783031008245</v>
      </c>
    </row>
    <row r="4696" spans="1:4" x14ac:dyDescent="0.25">
      <c r="A4696" s="7" t="s">
        <v>3515</v>
      </c>
      <c r="B4696" s="8" t="s">
        <v>3516</v>
      </c>
      <c r="C4696" s="8" t="s">
        <v>562</v>
      </c>
      <c r="D4696" s="8" t="str">
        <f>"9780822372400"</f>
        <v>9780822372400</v>
      </c>
    </row>
    <row r="4697" spans="1:4" ht="30" x14ac:dyDescent="0.25">
      <c r="A4697" s="7" t="s">
        <v>8652</v>
      </c>
      <c r="B4697" s="8" t="s">
        <v>8653</v>
      </c>
      <c r="C4697" s="8" t="s">
        <v>1342</v>
      </c>
      <c r="D4697" s="8" t="str">
        <f>"9789633863688"</f>
        <v>9789633863688</v>
      </c>
    </row>
    <row r="4698" spans="1:4" ht="30" x14ac:dyDescent="0.25">
      <c r="A4698" s="7" t="s">
        <v>13949</v>
      </c>
      <c r="B4698" s="8" t="s">
        <v>13950</v>
      </c>
      <c r="C4698" s="8" t="s">
        <v>5086</v>
      </c>
      <c r="D4698" s="8" t="str">
        <f>"9783658404734"</f>
        <v>9783658404734</v>
      </c>
    </row>
    <row r="4699" spans="1:4" x14ac:dyDescent="0.25">
      <c r="A4699" s="7" t="s">
        <v>2561</v>
      </c>
      <c r="B4699" s="8" t="s">
        <v>2562</v>
      </c>
      <c r="C4699" s="8" t="s">
        <v>562</v>
      </c>
      <c r="D4699" s="8" t="str">
        <f>"9780822374725"</f>
        <v>9780822374725</v>
      </c>
    </row>
    <row r="4700" spans="1:4" x14ac:dyDescent="0.25">
      <c r="A4700" s="7" t="s">
        <v>4119</v>
      </c>
      <c r="B4700" s="8" t="s">
        <v>4120</v>
      </c>
      <c r="C4700" s="8" t="s">
        <v>355</v>
      </c>
      <c r="D4700" s="8" t="str">
        <f>"9783110478068"</f>
        <v>9783110478068</v>
      </c>
    </row>
    <row r="4701" spans="1:4" ht="30" x14ac:dyDescent="0.25">
      <c r="A4701" s="7" t="s">
        <v>6470</v>
      </c>
      <c r="B4701" s="8" t="s">
        <v>6471</v>
      </c>
      <c r="C4701" s="8" t="s">
        <v>1865</v>
      </c>
      <c r="D4701" s="8" t="str">
        <f>"9789179297008"</f>
        <v>9789179297008</v>
      </c>
    </row>
    <row r="4702" spans="1:4" x14ac:dyDescent="0.25">
      <c r="A4702" s="7" t="s">
        <v>2962</v>
      </c>
      <c r="B4702" s="8" t="s">
        <v>2963</v>
      </c>
      <c r="C4702" s="8" t="s">
        <v>1865</v>
      </c>
      <c r="D4702" s="8" t="str">
        <f>"9789176855966"</f>
        <v>9789176855966</v>
      </c>
    </row>
    <row r="4703" spans="1:4" x14ac:dyDescent="0.25">
      <c r="A4703" s="7" t="s">
        <v>16318</v>
      </c>
      <c r="B4703" s="8" t="s">
        <v>16319</v>
      </c>
      <c r="C4703" s="8" t="s">
        <v>1865</v>
      </c>
      <c r="D4703" s="8" t="str">
        <f>"9789185715015"</f>
        <v>9789185715015</v>
      </c>
    </row>
    <row r="4704" spans="1:4" x14ac:dyDescent="0.25">
      <c r="A4704" s="7" t="s">
        <v>12659</v>
      </c>
      <c r="B4704" s="8" t="s">
        <v>12660</v>
      </c>
      <c r="C4704" s="8" t="s">
        <v>2273</v>
      </c>
      <c r="D4704" s="8" t="str">
        <f>"9783031132315"</f>
        <v>9783031132315</v>
      </c>
    </row>
    <row r="4705" spans="1:4" ht="30" x14ac:dyDescent="0.25">
      <c r="A4705" s="7" t="s">
        <v>9086</v>
      </c>
      <c r="B4705" s="8" t="s">
        <v>9087</v>
      </c>
      <c r="C4705" s="8" t="s">
        <v>2273</v>
      </c>
      <c r="D4705" s="8" t="str">
        <f>"9783030894467"</f>
        <v>9783030894467</v>
      </c>
    </row>
    <row r="4706" spans="1:4" ht="30" x14ac:dyDescent="0.25">
      <c r="A4706" s="7" t="s">
        <v>3710</v>
      </c>
      <c r="B4706" s="8" t="s">
        <v>3711</v>
      </c>
      <c r="C4706" s="8" t="s">
        <v>316</v>
      </c>
      <c r="D4706" s="8" t="str">
        <f>"9783110546316"</f>
        <v>9783110546316</v>
      </c>
    </row>
    <row r="4707" spans="1:4" x14ac:dyDescent="0.25">
      <c r="A4707" s="7" t="s">
        <v>657</v>
      </c>
      <c r="B4707" s="8" t="s">
        <v>658</v>
      </c>
      <c r="C4707" s="8" t="s">
        <v>562</v>
      </c>
      <c r="D4707" s="8" t="str">
        <f>"9780822395690"</f>
        <v>9780822395690</v>
      </c>
    </row>
    <row r="4708" spans="1:4" x14ac:dyDescent="0.25">
      <c r="A4708" s="7" t="s">
        <v>8978</v>
      </c>
      <c r="B4708" s="8" t="s">
        <v>8979</v>
      </c>
      <c r="C4708" s="8" t="s">
        <v>1879</v>
      </c>
      <c r="D4708" s="8" t="str">
        <f>"9781800643222"</f>
        <v>9781800643222</v>
      </c>
    </row>
    <row r="4709" spans="1:4" x14ac:dyDescent="0.25">
      <c r="A4709" s="7" t="s">
        <v>5394</v>
      </c>
      <c r="B4709" s="8" t="s">
        <v>5395</v>
      </c>
      <c r="C4709" s="8" t="s">
        <v>1879</v>
      </c>
      <c r="D4709" s="8" t="str">
        <f>"9781800640979"</f>
        <v>9781800640979</v>
      </c>
    </row>
    <row r="4710" spans="1:4" ht="30" x14ac:dyDescent="0.25">
      <c r="A4710" s="7" t="s">
        <v>15209</v>
      </c>
      <c r="B4710" s="8" t="s">
        <v>15210</v>
      </c>
      <c r="C4710" s="8" t="s">
        <v>1865</v>
      </c>
      <c r="D4710" s="8" t="str">
        <f>"9789185895168"</f>
        <v>9789185895168</v>
      </c>
    </row>
    <row r="4711" spans="1:4" x14ac:dyDescent="0.25">
      <c r="A4711" s="7" t="s">
        <v>14970</v>
      </c>
      <c r="B4711" s="8" t="s">
        <v>14971</v>
      </c>
      <c r="C4711" s="8" t="s">
        <v>1865</v>
      </c>
      <c r="D4711" s="8" t="str">
        <f>"9789185831623"</f>
        <v>9789185831623</v>
      </c>
    </row>
    <row r="4712" spans="1:4" x14ac:dyDescent="0.25">
      <c r="A4712" s="7" t="s">
        <v>11122</v>
      </c>
      <c r="B4712" s="8" t="s">
        <v>11123</v>
      </c>
      <c r="C4712" s="8" t="s">
        <v>2082</v>
      </c>
      <c r="D4712" s="8" t="str">
        <f>"9780472900985"</f>
        <v>9780472900985</v>
      </c>
    </row>
    <row r="4713" spans="1:4" x14ac:dyDescent="0.25">
      <c r="A4713" s="7" t="s">
        <v>2779</v>
      </c>
      <c r="B4713" s="8" t="s">
        <v>2780</v>
      </c>
      <c r="C4713" s="8" t="s">
        <v>562</v>
      </c>
      <c r="D4713" s="8" t="str">
        <f>"9780822373551"</f>
        <v>9780822373551</v>
      </c>
    </row>
    <row r="4714" spans="1:4" x14ac:dyDescent="0.25">
      <c r="A4714" s="7" t="s">
        <v>2102</v>
      </c>
      <c r="B4714" s="8" t="s">
        <v>1396</v>
      </c>
      <c r="C4714" s="8" t="s">
        <v>1345</v>
      </c>
      <c r="D4714" s="8" t="str">
        <f>"9783862199198"</f>
        <v>9783862199198</v>
      </c>
    </row>
    <row r="4715" spans="1:4" x14ac:dyDescent="0.25">
      <c r="A4715" s="7" t="s">
        <v>8935</v>
      </c>
      <c r="B4715" s="8" t="s">
        <v>8936</v>
      </c>
      <c r="C4715" s="8" t="s">
        <v>2273</v>
      </c>
      <c r="D4715" s="8" t="str">
        <f>"9783030837808"</f>
        <v>9783030837808</v>
      </c>
    </row>
    <row r="4716" spans="1:4" ht="30" x14ac:dyDescent="0.25">
      <c r="A4716" s="7" t="s">
        <v>4788</v>
      </c>
      <c r="B4716" s="8" t="s">
        <v>4789</v>
      </c>
      <c r="C4716" s="8" t="s">
        <v>1865</v>
      </c>
      <c r="D4716" s="8" t="str">
        <f>"9789179299255"</f>
        <v>9789179299255</v>
      </c>
    </row>
    <row r="4717" spans="1:4" ht="30" x14ac:dyDescent="0.25">
      <c r="A4717" s="7" t="s">
        <v>4232</v>
      </c>
      <c r="B4717" s="8" t="s">
        <v>4233</v>
      </c>
      <c r="C4717" s="8" t="s">
        <v>1865</v>
      </c>
      <c r="D4717" s="8" t="str">
        <f>"9789176851579"</f>
        <v>9789176851579</v>
      </c>
    </row>
    <row r="4718" spans="1:4" x14ac:dyDescent="0.25">
      <c r="A4718" s="7" t="s">
        <v>15266</v>
      </c>
      <c r="B4718" s="8" t="s">
        <v>14577</v>
      </c>
      <c r="C4718" s="8" t="s">
        <v>1865</v>
      </c>
      <c r="D4718" s="8" t="str">
        <f>"9789176850695"</f>
        <v>9789176850695</v>
      </c>
    </row>
    <row r="4719" spans="1:4" ht="30" x14ac:dyDescent="0.25">
      <c r="A4719" s="7" t="s">
        <v>5809</v>
      </c>
      <c r="B4719" s="8" t="s">
        <v>5810</v>
      </c>
      <c r="C4719" s="8" t="s">
        <v>4245</v>
      </c>
      <c r="D4719" s="8" t="str">
        <f>"9789812872845"</f>
        <v>9789812872845</v>
      </c>
    </row>
    <row r="4720" spans="1:4" ht="30" x14ac:dyDescent="0.25">
      <c r="A4720" s="7" t="s">
        <v>13424</v>
      </c>
      <c r="B4720" s="8" t="s">
        <v>78</v>
      </c>
      <c r="C4720" s="8" t="s">
        <v>2273</v>
      </c>
      <c r="D4720" s="8" t="str">
        <f>"9783031078057"</f>
        <v>9783031078057</v>
      </c>
    </row>
    <row r="4721" spans="1:4" x14ac:dyDescent="0.25">
      <c r="A4721" s="7" t="s">
        <v>12642</v>
      </c>
      <c r="B4721" s="8" t="s">
        <v>12643</v>
      </c>
      <c r="C4721" s="8" t="s">
        <v>2785</v>
      </c>
      <c r="D4721" s="8" t="str">
        <f>"9789811926112"</f>
        <v>9789811926112</v>
      </c>
    </row>
    <row r="4722" spans="1:4" ht="30" x14ac:dyDescent="0.25">
      <c r="A4722" s="7" t="s">
        <v>3194</v>
      </c>
      <c r="B4722" s="8" t="s">
        <v>3195</v>
      </c>
      <c r="C4722" s="8" t="s">
        <v>1865</v>
      </c>
      <c r="D4722" s="8" t="str">
        <f>"9789176855133"</f>
        <v>9789176855133</v>
      </c>
    </row>
    <row r="4723" spans="1:4" x14ac:dyDescent="0.25">
      <c r="A4723" s="7" t="s">
        <v>6161</v>
      </c>
      <c r="B4723" s="8" t="s">
        <v>6162</v>
      </c>
      <c r="C4723" s="8" t="s">
        <v>5214</v>
      </c>
      <c r="D4723" s="8" t="str">
        <f>"9789400779600"</f>
        <v>9789400779600</v>
      </c>
    </row>
    <row r="4724" spans="1:4" x14ac:dyDescent="0.25">
      <c r="A4724" s="7" t="s">
        <v>15535</v>
      </c>
      <c r="B4724" s="8" t="s">
        <v>15536</v>
      </c>
      <c r="C4724" s="8" t="s">
        <v>1865</v>
      </c>
      <c r="D4724" s="8" t="str">
        <f>"9789175196862"</f>
        <v>9789175196862</v>
      </c>
    </row>
    <row r="4725" spans="1:4" x14ac:dyDescent="0.25">
      <c r="A4725" s="7" t="s">
        <v>4890</v>
      </c>
      <c r="B4725" s="8" t="s">
        <v>4891</v>
      </c>
      <c r="C4725" s="8" t="s">
        <v>1865</v>
      </c>
      <c r="D4725" s="8" t="str">
        <f>"9789179298968"</f>
        <v>9789179298968</v>
      </c>
    </row>
    <row r="4726" spans="1:4" x14ac:dyDescent="0.25">
      <c r="A4726" s="7" t="s">
        <v>5954</v>
      </c>
      <c r="B4726" s="8" t="s">
        <v>5955</v>
      </c>
      <c r="C4726" s="8" t="s">
        <v>5484</v>
      </c>
      <c r="D4726" s="8" t="str">
        <f>"9781430251149"</f>
        <v>9781430251149</v>
      </c>
    </row>
    <row r="4727" spans="1:4" x14ac:dyDescent="0.25">
      <c r="A4727" s="7" t="s">
        <v>5954</v>
      </c>
      <c r="B4727" s="8" t="s">
        <v>6191</v>
      </c>
      <c r="C4727" s="8" t="s">
        <v>5484</v>
      </c>
      <c r="D4727" s="8" t="str">
        <f>"9781484214558"</f>
        <v>9781484214558</v>
      </c>
    </row>
    <row r="4728" spans="1:4" ht="45" x14ac:dyDescent="0.25">
      <c r="A4728" s="7" t="s">
        <v>315</v>
      </c>
      <c r="B4728" s="8" t="s">
        <v>317</v>
      </c>
      <c r="C4728" s="8" t="s">
        <v>316</v>
      </c>
      <c r="D4728" s="8" t="str">
        <f>"9783598440953"</f>
        <v>9783598440953</v>
      </c>
    </row>
    <row r="4729" spans="1:4" x14ac:dyDescent="0.25">
      <c r="A4729" s="7" t="s">
        <v>5711</v>
      </c>
      <c r="B4729" s="8" t="s">
        <v>5712</v>
      </c>
      <c r="C4729" s="8" t="s">
        <v>2273</v>
      </c>
      <c r="D4729" s="8" t="str">
        <f>"9783319510439"</f>
        <v>9783319510439</v>
      </c>
    </row>
    <row r="4730" spans="1:4" x14ac:dyDescent="0.25">
      <c r="A4730" s="7" t="s">
        <v>15127</v>
      </c>
      <c r="B4730" s="8" t="s">
        <v>8701</v>
      </c>
      <c r="C4730" s="8" t="s">
        <v>1865</v>
      </c>
      <c r="D4730" s="8" t="str">
        <f>"9789175192086"</f>
        <v>9789175192086</v>
      </c>
    </row>
    <row r="4731" spans="1:4" x14ac:dyDescent="0.25">
      <c r="A4731" s="7" t="s">
        <v>8700</v>
      </c>
      <c r="B4731" s="8" t="s">
        <v>8701</v>
      </c>
      <c r="C4731" s="8" t="s">
        <v>1865</v>
      </c>
      <c r="D4731" s="8" t="str">
        <f>"9789179290696"</f>
        <v>9789179290696</v>
      </c>
    </row>
    <row r="4732" spans="1:4" x14ac:dyDescent="0.25">
      <c r="A4732" s="7" t="s">
        <v>7982</v>
      </c>
      <c r="B4732" s="8" t="s">
        <v>6820</v>
      </c>
      <c r="C4732" s="8" t="s">
        <v>1962</v>
      </c>
      <c r="D4732" s="8" t="str">
        <f>"9782759230914"</f>
        <v>9782759230914</v>
      </c>
    </row>
    <row r="4733" spans="1:4" x14ac:dyDescent="0.25">
      <c r="A4733" s="7" t="s">
        <v>7394</v>
      </c>
      <c r="B4733" s="8" t="s">
        <v>110</v>
      </c>
      <c r="C4733" s="8" t="s">
        <v>993</v>
      </c>
      <c r="D4733" s="8" t="str">
        <f>"9783839416792"</f>
        <v>9783839416792</v>
      </c>
    </row>
    <row r="4734" spans="1:4" x14ac:dyDescent="0.25">
      <c r="A4734" s="7" t="s">
        <v>5881</v>
      </c>
      <c r="B4734" s="8" t="s">
        <v>5882</v>
      </c>
      <c r="C4734" s="8" t="s">
        <v>5134</v>
      </c>
      <c r="D4734" s="8" t="str">
        <f>"9783642212772"</f>
        <v>9783642212772</v>
      </c>
    </row>
    <row r="4735" spans="1:4" x14ac:dyDescent="0.25">
      <c r="A4735" s="7" t="s">
        <v>9746</v>
      </c>
      <c r="B4735" s="8" t="s">
        <v>9747</v>
      </c>
      <c r="C4735" s="8" t="s">
        <v>993</v>
      </c>
      <c r="D4735" s="8" t="str">
        <f>"9783839403242"</f>
        <v>9783839403242</v>
      </c>
    </row>
    <row r="4736" spans="1:4" x14ac:dyDescent="0.25">
      <c r="A4736" s="7" t="s">
        <v>9874</v>
      </c>
      <c r="B4736" s="8" t="s">
        <v>9875</v>
      </c>
      <c r="C4736" s="8" t="s">
        <v>993</v>
      </c>
      <c r="D4736" s="8" t="str">
        <f>"9783839407073"</f>
        <v>9783839407073</v>
      </c>
    </row>
    <row r="4737" spans="1:4" x14ac:dyDescent="0.25">
      <c r="A4737" s="7" t="s">
        <v>7016</v>
      </c>
      <c r="B4737" s="8" t="s">
        <v>7017</v>
      </c>
      <c r="C4737" s="8" t="s">
        <v>355</v>
      </c>
      <c r="D4737" s="8" t="str">
        <f>"9783110614442"</f>
        <v>9783110614442</v>
      </c>
    </row>
    <row r="4738" spans="1:4" x14ac:dyDescent="0.25">
      <c r="A4738" s="7" t="s">
        <v>7016</v>
      </c>
      <c r="B4738" s="8" t="s">
        <v>7017</v>
      </c>
      <c r="C4738" s="8" t="s">
        <v>355</v>
      </c>
      <c r="D4738" s="8" t="str">
        <f>"9783110614589"</f>
        <v>9783110614589</v>
      </c>
    </row>
    <row r="4739" spans="1:4" x14ac:dyDescent="0.25">
      <c r="A4739" s="7" t="s">
        <v>12580</v>
      </c>
      <c r="B4739" s="8" t="s">
        <v>12581</v>
      </c>
      <c r="C4739" s="8" t="s">
        <v>355</v>
      </c>
      <c r="D4739" s="8" t="str">
        <f>"9783110776485"</f>
        <v>9783110776485</v>
      </c>
    </row>
    <row r="4740" spans="1:4" x14ac:dyDescent="0.25">
      <c r="A4740" s="7" t="s">
        <v>3872</v>
      </c>
      <c r="B4740" s="8" t="s">
        <v>3873</v>
      </c>
      <c r="C4740" s="8" t="s">
        <v>355</v>
      </c>
      <c r="D4740" s="8" t="str">
        <f>"9783110541397"</f>
        <v>9783110541397</v>
      </c>
    </row>
    <row r="4741" spans="1:4" x14ac:dyDescent="0.25">
      <c r="A4741" s="7" t="s">
        <v>296</v>
      </c>
      <c r="B4741" s="8" t="s">
        <v>297</v>
      </c>
      <c r="C4741" s="8" t="s">
        <v>227</v>
      </c>
      <c r="D4741" s="8" t="str">
        <f>"9781847790170"</f>
        <v>9781847790170</v>
      </c>
    </row>
    <row r="4742" spans="1:4" ht="30" x14ac:dyDescent="0.25">
      <c r="A4742" s="7" t="s">
        <v>12163</v>
      </c>
      <c r="B4742" s="8" t="s">
        <v>12165</v>
      </c>
      <c r="C4742" s="8" t="s">
        <v>12164</v>
      </c>
      <c r="D4742" s="8" t="str">
        <f>"9781501516016"</f>
        <v>9781501516016</v>
      </c>
    </row>
    <row r="4743" spans="1:4" x14ac:dyDescent="0.25">
      <c r="A4743" s="7" t="s">
        <v>11984</v>
      </c>
      <c r="B4743" s="8" t="s">
        <v>11985</v>
      </c>
      <c r="C4743" s="8" t="s">
        <v>2273</v>
      </c>
      <c r="D4743" s="8" t="str">
        <f>"9783030943165"</f>
        <v>9783030943165</v>
      </c>
    </row>
    <row r="4744" spans="1:4" x14ac:dyDescent="0.25">
      <c r="A4744" s="7" t="s">
        <v>6773</v>
      </c>
      <c r="B4744" s="8" t="s">
        <v>6774</v>
      </c>
      <c r="C4744" s="8" t="s">
        <v>993</v>
      </c>
      <c r="D4744" s="8" t="str">
        <f>"9783839452417"</f>
        <v>9783839452417</v>
      </c>
    </row>
    <row r="4745" spans="1:4" x14ac:dyDescent="0.25">
      <c r="A4745" s="7" t="s">
        <v>12007</v>
      </c>
      <c r="B4745" s="8" t="s">
        <v>12008</v>
      </c>
      <c r="C4745" s="8" t="s">
        <v>355</v>
      </c>
      <c r="D4745" s="8" t="str">
        <f>"9783110751734"</f>
        <v>9783110751734</v>
      </c>
    </row>
    <row r="4746" spans="1:4" x14ac:dyDescent="0.25">
      <c r="A4746" s="7" t="s">
        <v>13822</v>
      </c>
      <c r="B4746" s="8" t="s">
        <v>13823</v>
      </c>
      <c r="C4746" s="8" t="s">
        <v>2273</v>
      </c>
      <c r="D4746" s="8" t="str">
        <f>"9783031169052"</f>
        <v>9783031169052</v>
      </c>
    </row>
    <row r="4747" spans="1:4" x14ac:dyDescent="0.25">
      <c r="A4747" s="7" t="s">
        <v>5815</v>
      </c>
      <c r="B4747" s="8" t="s">
        <v>5816</v>
      </c>
      <c r="C4747" s="8" t="s">
        <v>2273</v>
      </c>
      <c r="D4747" s="8" t="str">
        <f>"9783319390956"</f>
        <v>9783319390956</v>
      </c>
    </row>
    <row r="4748" spans="1:4" x14ac:dyDescent="0.25">
      <c r="A4748" s="7" t="s">
        <v>4948</v>
      </c>
      <c r="B4748" s="8" t="s">
        <v>4949</v>
      </c>
      <c r="C4748" s="8" t="s">
        <v>1879</v>
      </c>
      <c r="D4748" s="8" t="str">
        <f>"9781783748839"</f>
        <v>9781783748839</v>
      </c>
    </row>
    <row r="4749" spans="1:4" ht="30" x14ac:dyDescent="0.25">
      <c r="A4749" s="7" t="s">
        <v>10981</v>
      </c>
      <c r="B4749" s="8" t="s">
        <v>10982</v>
      </c>
      <c r="C4749" s="8" t="s">
        <v>2082</v>
      </c>
      <c r="D4749" s="8" t="str">
        <f>"9780472902651"</f>
        <v>9780472902651</v>
      </c>
    </row>
    <row r="4750" spans="1:4" ht="30" x14ac:dyDescent="0.25">
      <c r="A4750" s="7" t="s">
        <v>14316</v>
      </c>
      <c r="B4750" s="8" t="s">
        <v>14317</v>
      </c>
      <c r="C4750" s="8" t="s">
        <v>5086</v>
      </c>
      <c r="D4750" s="8" t="str">
        <f>"9783658373863"</f>
        <v>9783658373863</v>
      </c>
    </row>
    <row r="4751" spans="1:4" x14ac:dyDescent="0.25">
      <c r="A4751" s="7" t="s">
        <v>6257</v>
      </c>
      <c r="B4751" s="8" t="s">
        <v>82</v>
      </c>
      <c r="C4751" s="8" t="s">
        <v>5214</v>
      </c>
      <c r="D4751" s="8" t="str">
        <f>"9789400770614"</f>
        <v>9789400770614</v>
      </c>
    </row>
    <row r="4752" spans="1:4" x14ac:dyDescent="0.25">
      <c r="A4752" s="7" t="s">
        <v>3836</v>
      </c>
      <c r="B4752" s="8" t="s">
        <v>3837</v>
      </c>
      <c r="C4752" s="8" t="s">
        <v>355</v>
      </c>
      <c r="D4752" s="8" t="str">
        <f>"9783110475371"</f>
        <v>9783110475371</v>
      </c>
    </row>
    <row r="4753" spans="1:4" x14ac:dyDescent="0.25">
      <c r="A4753" s="7" t="s">
        <v>5553</v>
      </c>
      <c r="B4753" s="8" t="s">
        <v>50</v>
      </c>
      <c r="C4753" s="8" t="s">
        <v>1879</v>
      </c>
      <c r="D4753" s="8" t="str">
        <f>"9781783749836"</f>
        <v>9781783749836</v>
      </c>
    </row>
    <row r="4754" spans="1:4" x14ac:dyDescent="0.25">
      <c r="A4754" s="7" t="s">
        <v>9174</v>
      </c>
      <c r="B4754" s="8" t="s">
        <v>9175</v>
      </c>
      <c r="C4754" s="8" t="s">
        <v>4882</v>
      </c>
      <c r="D4754" s="8" t="str">
        <f>"9781781385678"</f>
        <v>9781781385678</v>
      </c>
    </row>
    <row r="4755" spans="1:4" x14ac:dyDescent="0.25">
      <c r="A4755" s="7" t="s">
        <v>5266</v>
      </c>
      <c r="B4755" s="8" t="s">
        <v>5267</v>
      </c>
      <c r="C4755" s="8" t="s">
        <v>2273</v>
      </c>
      <c r="D4755" s="8" t="str">
        <f>"9783319165103"</f>
        <v>9783319165103</v>
      </c>
    </row>
    <row r="4756" spans="1:4" x14ac:dyDescent="0.25">
      <c r="A4756" s="7" t="s">
        <v>5970</v>
      </c>
      <c r="B4756" s="8" t="s">
        <v>5971</v>
      </c>
      <c r="C4756" s="8" t="s">
        <v>2273</v>
      </c>
      <c r="D4756" s="8" t="str">
        <f>"9783030108229"</f>
        <v>9783030108229</v>
      </c>
    </row>
    <row r="4757" spans="1:4" x14ac:dyDescent="0.25">
      <c r="A4757" s="7" t="s">
        <v>13940</v>
      </c>
      <c r="B4757" s="8" t="s">
        <v>13941</v>
      </c>
      <c r="C4757" s="8" t="s">
        <v>2273</v>
      </c>
      <c r="D4757" s="8" t="str">
        <f>"9783031068362"</f>
        <v>9783031068362</v>
      </c>
    </row>
    <row r="4758" spans="1:4" x14ac:dyDescent="0.25">
      <c r="A4758" s="7" t="s">
        <v>899</v>
      </c>
      <c r="B4758" s="8" t="s">
        <v>900</v>
      </c>
      <c r="C4758" s="8" t="s">
        <v>355</v>
      </c>
      <c r="D4758" s="8" t="str">
        <f>"9783110401509"</f>
        <v>9783110401509</v>
      </c>
    </row>
    <row r="4759" spans="1:4" x14ac:dyDescent="0.25">
      <c r="A4759" s="7" t="s">
        <v>2049</v>
      </c>
      <c r="B4759" s="8" t="s">
        <v>2050</v>
      </c>
      <c r="C4759" s="8" t="s">
        <v>1962</v>
      </c>
      <c r="D4759" s="8" t="str">
        <f>"9782759201846"</f>
        <v>9782759201846</v>
      </c>
    </row>
    <row r="4760" spans="1:4" ht="45" x14ac:dyDescent="0.25">
      <c r="A4760" s="7" t="s">
        <v>2819</v>
      </c>
      <c r="B4760" s="8" t="s">
        <v>2820</v>
      </c>
      <c r="C4760" s="8" t="s">
        <v>1345</v>
      </c>
      <c r="D4760" s="8" t="str">
        <f>"9783737601955"</f>
        <v>9783737601955</v>
      </c>
    </row>
    <row r="4761" spans="1:4" x14ac:dyDescent="0.25">
      <c r="A4761" s="7" t="s">
        <v>8150</v>
      </c>
      <c r="B4761" s="8" t="s">
        <v>8151</v>
      </c>
      <c r="C4761" s="8" t="s">
        <v>993</v>
      </c>
      <c r="D4761" s="8" t="str">
        <f>"9783839450239"</f>
        <v>9783839450239</v>
      </c>
    </row>
    <row r="4762" spans="1:4" ht="30" x14ac:dyDescent="0.25">
      <c r="A4762" s="7" t="s">
        <v>13380</v>
      </c>
      <c r="B4762" s="8" t="s">
        <v>13381</v>
      </c>
      <c r="C4762" s="8" t="s">
        <v>12712</v>
      </c>
      <c r="D4762" s="8" t="str">
        <f>"9783428582600"</f>
        <v>9783428582600</v>
      </c>
    </row>
    <row r="4763" spans="1:4" ht="30" x14ac:dyDescent="0.25">
      <c r="A4763" s="7" t="s">
        <v>8483</v>
      </c>
      <c r="B4763" s="8" t="s">
        <v>8484</v>
      </c>
      <c r="C4763" s="8" t="s">
        <v>993</v>
      </c>
      <c r="D4763" s="8" t="str">
        <f>"9783839449080"</f>
        <v>9783839449080</v>
      </c>
    </row>
    <row r="4764" spans="1:4" x14ac:dyDescent="0.25">
      <c r="A4764" s="7" t="s">
        <v>6809</v>
      </c>
      <c r="B4764" s="8" t="s">
        <v>6810</v>
      </c>
      <c r="C4764" s="8" t="s">
        <v>2273</v>
      </c>
      <c r="D4764" s="8" t="str">
        <f>"9783030666613"</f>
        <v>9783030666613</v>
      </c>
    </row>
    <row r="4765" spans="1:4" ht="30" x14ac:dyDescent="0.25">
      <c r="A4765" s="7" t="s">
        <v>1852</v>
      </c>
      <c r="B4765" s="8" t="s">
        <v>1853</v>
      </c>
      <c r="C4765" s="8" t="s">
        <v>1345</v>
      </c>
      <c r="D4765" s="8" t="str">
        <f>"9783862198016"</f>
        <v>9783862198016</v>
      </c>
    </row>
    <row r="4766" spans="1:4" ht="30" x14ac:dyDescent="0.25">
      <c r="A4766" s="7" t="s">
        <v>229</v>
      </c>
      <c r="B4766" s="8" t="s">
        <v>2</v>
      </c>
      <c r="C4766" s="8" t="s">
        <v>227</v>
      </c>
      <c r="D4766" s="8" t="str">
        <f>"9781847790293"</f>
        <v>9781847790293</v>
      </c>
    </row>
    <row r="4767" spans="1:4" ht="30" x14ac:dyDescent="0.25">
      <c r="A4767" s="7" t="s">
        <v>16279</v>
      </c>
      <c r="B4767" s="8" t="s">
        <v>4299</v>
      </c>
      <c r="C4767" s="8" t="s">
        <v>1865</v>
      </c>
      <c r="D4767" s="8" t="str">
        <f>"9789176855232"</f>
        <v>9789176855232</v>
      </c>
    </row>
    <row r="4768" spans="1:4" x14ac:dyDescent="0.25">
      <c r="A4768" s="7" t="s">
        <v>12893</v>
      </c>
      <c r="B4768" s="8" t="s">
        <v>12894</v>
      </c>
      <c r="C4768" s="8" t="s">
        <v>12712</v>
      </c>
      <c r="D4768" s="8" t="str">
        <f>"9783428445080"</f>
        <v>9783428445080</v>
      </c>
    </row>
    <row r="4769" spans="1:4" ht="30" x14ac:dyDescent="0.25">
      <c r="A4769" s="7" t="s">
        <v>11370</v>
      </c>
      <c r="B4769" s="8" t="s">
        <v>11371</v>
      </c>
      <c r="C4769" s="8" t="s">
        <v>355</v>
      </c>
      <c r="D4769" s="8" t="str">
        <f>"9783110751451"</f>
        <v>9783110751451</v>
      </c>
    </row>
    <row r="4770" spans="1:4" ht="30" x14ac:dyDescent="0.25">
      <c r="A4770" s="7" t="s">
        <v>13577</v>
      </c>
      <c r="B4770" s="8" t="s">
        <v>13578</v>
      </c>
      <c r="C4770" s="8" t="s">
        <v>2274</v>
      </c>
      <c r="D4770" s="8" t="str">
        <f>"9789811920370"</f>
        <v>9789811920370</v>
      </c>
    </row>
    <row r="4771" spans="1:4" x14ac:dyDescent="0.25">
      <c r="A4771" s="7" t="s">
        <v>8871</v>
      </c>
      <c r="B4771" s="8" t="s">
        <v>8872</v>
      </c>
      <c r="C4771" s="8" t="s">
        <v>1879</v>
      </c>
      <c r="D4771" s="8" t="str">
        <f>"9781800643406"</f>
        <v>9781800643406</v>
      </c>
    </row>
    <row r="4772" spans="1:4" ht="30" x14ac:dyDescent="0.25">
      <c r="A4772" s="7" t="s">
        <v>7101</v>
      </c>
      <c r="B4772" s="8" t="s">
        <v>7102</v>
      </c>
      <c r="C4772" s="8" t="s">
        <v>355</v>
      </c>
      <c r="D4772" s="8" t="str">
        <f>"9783110627121"</f>
        <v>9783110627121</v>
      </c>
    </row>
    <row r="4773" spans="1:4" ht="30" x14ac:dyDescent="0.25">
      <c r="A4773" s="7" t="s">
        <v>10015</v>
      </c>
      <c r="B4773" s="8" t="s">
        <v>9805</v>
      </c>
      <c r="C4773" s="8" t="s">
        <v>993</v>
      </c>
      <c r="D4773" s="8" t="str">
        <f>"9783839410271"</f>
        <v>9783839410271</v>
      </c>
    </row>
    <row r="4774" spans="1:4" x14ac:dyDescent="0.25">
      <c r="A4774" s="7" t="s">
        <v>15523</v>
      </c>
      <c r="B4774" s="8" t="s">
        <v>15524</v>
      </c>
      <c r="C4774" s="8" t="s">
        <v>1865</v>
      </c>
      <c r="D4774" s="8" t="str">
        <f>"9789175191478"</f>
        <v>9789175191478</v>
      </c>
    </row>
    <row r="4775" spans="1:4" x14ac:dyDescent="0.25">
      <c r="A4775" s="7" t="s">
        <v>13605</v>
      </c>
      <c r="B4775" s="8" t="s">
        <v>13606</v>
      </c>
      <c r="C4775" s="8" t="s">
        <v>2274</v>
      </c>
      <c r="D4775" s="8" t="str">
        <f>"9789811937552"</f>
        <v>9789811937552</v>
      </c>
    </row>
    <row r="4776" spans="1:4" ht="30" x14ac:dyDescent="0.25">
      <c r="A4776" s="7" t="s">
        <v>4399</v>
      </c>
      <c r="B4776" s="8" t="s">
        <v>4400</v>
      </c>
      <c r="C4776" s="8" t="s">
        <v>355</v>
      </c>
      <c r="D4776" s="8" t="str">
        <f>"9783110446647"</f>
        <v>9783110446647</v>
      </c>
    </row>
    <row r="4777" spans="1:4" x14ac:dyDescent="0.25">
      <c r="A4777" s="7" t="s">
        <v>8119</v>
      </c>
      <c r="B4777" s="8" t="s">
        <v>6952</v>
      </c>
      <c r="C4777" s="8" t="s">
        <v>2273</v>
      </c>
      <c r="D4777" s="8" t="str">
        <f>"9783030783549"</f>
        <v>9783030783549</v>
      </c>
    </row>
    <row r="4778" spans="1:4" x14ac:dyDescent="0.25">
      <c r="A4778" s="7" t="s">
        <v>6781</v>
      </c>
      <c r="B4778" s="8" t="s">
        <v>6782</v>
      </c>
      <c r="C4778" s="8" t="s">
        <v>2273</v>
      </c>
      <c r="D4778" s="8" t="str">
        <f>"9783030652876"</f>
        <v>9783030652876</v>
      </c>
    </row>
    <row r="4779" spans="1:4" x14ac:dyDescent="0.25">
      <c r="A4779" s="7" t="s">
        <v>3378</v>
      </c>
      <c r="B4779" s="8" t="s">
        <v>3379</v>
      </c>
      <c r="C4779" s="8" t="s">
        <v>1865</v>
      </c>
      <c r="D4779" s="8" t="str">
        <f>"9789176854006"</f>
        <v>9789176854006</v>
      </c>
    </row>
    <row r="4780" spans="1:4" ht="30" x14ac:dyDescent="0.25">
      <c r="A4780" s="7" t="s">
        <v>15104</v>
      </c>
      <c r="B4780" s="8" t="s">
        <v>15105</v>
      </c>
      <c r="C4780" s="8" t="s">
        <v>1865</v>
      </c>
      <c r="D4780" s="8" t="str">
        <f>"9789175191966"</f>
        <v>9789175191966</v>
      </c>
    </row>
    <row r="4781" spans="1:4" x14ac:dyDescent="0.25">
      <c r="A4781" s="7" t="s">
        <v>3974</v>
      </c>
      <c r="B4781" s="8" t="s">
        <v>3975</v>
      </c>
      <c r="C4781" s="8" t="s">
        <v>355</v>
      </c>
      <c r="D4781" s="8" t="str">
        <f>"9783110426953"</f>
        <v>9783110426953</v>
      </c>
    </row>
    <row r="4782" spans="1:4" ht="30" x14ac:dyDescent="0.25">
      <c r="A4782" s="7" t="s">
        <v>5034</v>
      </c>
      <c r="B4782" s="8" t="s">
        <v>5035</v>
      </c>
      <c r="C4782" s="8" t="s">
        <v>355</v>
      </c>
      <c r="D4782" s="8" t="str">
        <f>"9783110639247"</f>
        <v>9783110639247</v>
      </c>
    </row>
    <row r="4783" spans="1:4" x14ac:dyDescent="0.25">
      <c r="A4783" s="7" t="s">
        <v>2989</v>
      </c>
      <c r="B4783" s="8" t="s">
        <v>2990</v>
      </c>
      <c r="C4783" s="8" t="s">
        <v>355</v>
      </c>
      <c r="D4783" s="8" t="str">
        <f>"9783110463217"</f>
        <v>9783110463217</v>
      </c>
    </row>
    <row r="4784" spans="1:4" x14ac:dyDescent="0.25">
      <c r="A4784" s="7" t="s">
        <v>8282</v>
      </c>
      <c r="B4784" s="8" t="s">
        <v>8283</v>
      </c>
      <c r="C4784" s="8" t="s">
        <v>993</v>
      </c>
      <c r="D4784" s="8" t="str">
        <f>"9783839447888"</f>
        <v>9783839447888</v>
      </c>
    </row>
    <row r="4785" spans="1:4" x14ac:dyDescent="0.25">
      <c r="A4785" s="7" t="s">
        <v>976</v>
      </c>
      <c r="B4785" s="8" t="s">
        <v>977</v>
      </c>
      <c r="C4785" s="8" t="s">
        <v>316</v>
      </c>
      <c r="D4785" s="8" t="str">
        <f>"9783110371291"</f>
        <v>9783110371291</v>
      </c>
    </row>
    <row r="4786" spans="1:4" ht="30" x14ac:dyDescent="0.25">
      <c r="A4786" s="7" t="s">
        <v>9750</v>
      </c>
      <c r="B4786" s="8" t="s">
        <v>10</v>
      </c>
      <c r="C4786" s="8" t="s">
        <v>993</v>
      </c>
      <c r="D4786" s="8" t="str">
        <f>"9783839403365"</f>
        <v>9783839403365</v>
      </c>
    </row>
    <row r="4787" spans="1:4" ht="30" x14ac:dyDescent="0.25">
      <c r="A4787" s="7" t="s">
        <v>7009</v>
      </c>
      <c r="B4787" s="8" t="s">
        <v>60</v>
      </c>
      <c r="C4787" s="8" t="s">
        <v>355</v>
      </c>
      <c r="D4787" s="8" t="str">
        <f>"9783110633566"</f>
        <v>9783110633566</v>
      </c>
    </row>
    <row r="4788" spans="1:4" x14ac:dyDescent="0.25">
      <c r="A4788" s="7" t="s">
        <v>12054</v>
      </c>
      <c r="B4788" s="8" t="s">
        <v>103</v>
      </c>
      <c r="C4788" s="8" t="s">
        <v>355</v>
      </c>
      <c r="D4788" s="8" t="str">
        <f>"9783110764734"</f>
        <v>9783110764734</v>
      </c>
    </row>
    <row r="4789" spans="1:4" x14ac:dyDescent="0.25">
      <c r="A4789" s="7" t="s">
        <v>2789</v>
      </c>
      <c r="B4789" s="8" t="s">
        <v>2790</v>
      </c>
      <c r="C4789" s="8" t="s">
        <v>355</v>
      </c>
      <c r="D4789" s="8" t="str">
        <f>"9783110459630"</f>
        <v>9783110459630</v>
      </c>
    </row>
    <row r="4790" spans="1:4" ht="30" x14ac:dyDescent="0.25">
      <c r="A4790" s="7" t="s">
        <v>935</v>
      </c>
      <c r="B4790" s="8" t="s">
        <v>936</v>
      </c>
      <c r="C4790" s="8" t="s">
        <v>355</v>
      </c>
      <c r="D4790" s="8" t="str">
        <f>"9783110410204"</f>
        <v>9783110410204</v>
      </c>
    </row>
    <row r="4791" spans="1:4" x14ac:dyDescent="0.25">
      <c r="A4791" s="7" t="s">
        <v>14472</v>
      </c>
      <c r="B4791" s="8" t="s">
        <v>14473</v>
      </c>
      <c r="C4791" s="8" t="s">
        <v>1865</v>
      </c>
      <c r="D4791" s="8" t="str">
        <f>"9789179293666"</f>
        <v>9789179293666</v>
      </c>
    </row>
    <row r="4792" spans="1:4" x14ac:dyDescent="0.25">
      <c r="A4792" s="7" t="s">
        <v>3692</v>
      </c>
      <c r="B4792" s="8" t="s">
        <v>3693</v>
      </c>
      <c r="C4792" s="8" t="s">
        <v>1865</v>
      </c>
      <c r="D4792" s="8" t="str">
        <f>"9789176852804"</f>
        <v>9789176852804</v>
      </c>
    </row>
    <row r="4793" spans="1:4" ht="30" x14ac:dyDescent="0.25">
      <c r="A4793" s="7" t="s">
        <v>6478</v>
      </c>
      <c r="B4793" s="8" t="s">
        <v>6479</v>
      </c>
      <c r="C4793" s="8" t="s">
        <v>1865</v>
      </c>
      <c r="D4793" s="8" t="str">
        <f>"9789179297473"</f>
        <v>9789179297473</v>
      </c>
    </row>
    <row r="4794" spans="1:4" x14ac:dyDescent="0.25">
      <c r="A4794" s="7" t="s">
        <v>11615</v>
      </c>
      <c r="B4794" s="8" t="s">
        <v>11616</v>
      </c>
      <c r="C4794" s="8" t="s">
        <v>316</v>
      </c>
      <c r="D4794" s="8" t="str">
        <f>"9783111352862"</f>
        <v>9783111352862</v>
      </c>
    </row>
    <row r="4795" spans="1:4" x14ac:dyDescent="0.25">
      <c r="A4795" s="7" t="s">
        <v>5122</v>
      </c>
      <c r="B4795" s="8" t="s">
        <v>5123</v>
      </c>
      <c r="C4795" s="8" t="s">
        <v>1865</v>
      </c>
      <c r="D4795" s="8" t="str">
        <f>"9789179298388"</f>
        <v>9789179298388</v>
      </c>
    </row>
    <row r="4796" spans="1:4" ht="30" x14ac:dyDescent="0.25">
      <c r="A4796" s="7" t="s">
        <v>9160</v>
      </c>
      <c r="B4796" s="8" t="s">
        <v>9161</v>
      </c>
      <c r="C4796" s="8" t="s">
        <v>2273</v>
      </c>
      <c r="D4796" s="8" t="str">
        <f>"9783030951368"</f>
        <v>9783030951368</v>
      </c>
    </row>
    <row r="4797" spans="1:4" x14ac:dyDescent="0.25">
      <c r="A4797" s="7" t="s">
        <v>15801</v>
      </c>
      <c r="B4797" s="8" t="s">
        <v>6417</v>
      </c>
      <c r="C4797" s="8" t="s">
        <v>1865</v>
      </c>
      <c r="D4797" s="8" t="str">
        <f>"9789176851319"</f>
        <v>9789176851319</v>
      </c>
    </row>
    <row r="4798" spans="1:4" ht="30" x14ac:dyDescent="0.25">
      <c r="A4798" s="7" t="s">
        <v>4429</v>
      </c>
      <c r="B4798" s="8" t="s">
        <v>4430</v>
      </c>
      <c r="C4798" s="8" t="s">
        <v>1865</v>
      </c>
      <c r="D4798" s="8" t="str">
        <f>"9789176850732"</f>
        <v>9789176850732</v>
      </c>
    </row>
    <row r="4799" spans="1:4" x14ac:dyDescent="0.25">
      <c r="A4799" s="7" t="s">
        <v>12665</v>
      </c>
      <c r="B4799" s="8" t="s">
        <v>12666</v>
      </c>
      <c r="C4799" s="8" t="s">
        <v>2273</v>
      </c>
      <c r="D4799" s="8" t="str">
        <f>"9783031135668"</f>
        <v>9783031135668</v>
      </c>
    </row>
    <row r="4800" spans="1:4" x14ac:dyDescent="0.25">
      <c r="A4800" s="7" t="s">
        <v>939</v>
      </c>
      <c r="B4800" s="8" t="s">
        <v>940</v>
      </c>
      <c r="C4800" s="8" t="s">
        <v>355</v>
      </c>
      <c r="D4800" s="8" t="str">
        <f>"9783110409475"</f>
        <v>9783110409475</v>
      </c>
    </row>
    <row r="4801" spans="1:4" ht="30" x14ac:dyDescent="0.25">
      <c r="A4801" s="7" t="s">
        <v>10509</v>
      </c>
      <c r="B4801" s="8" t="s">
        <v>2698</v>
      </c>
      <c r="C4801" s="8" t="s">
        <v>993</v>
      </c>
      <c r="D4801" s="8" t="str">
        <f>"9783839458549"</f>
        <v>9783839458549</v>
      </c>
    </row>
    <row r="4802" spans="1:4" ht="45" x14ac:dyDescent="0.25">
      <c r="A4802" s="7" t="s">
        <v>13459</v>
      </c>
      <c r="B4802" s="8" t="s">
        <v>13460</v>
      </c>
      <c r="C4802" s="8" t="s">
        <v>5086</v>
      </c>
      <c r="D4802" s="8" t="str">
        <f>"9783658390525"</f>
        <v>9783658390525</v>
      </c>
    </row>
    <row r="4803" spans="1:4" ht="30" x14ac:dyDescent="0.25">
      <c r="A4803" s="7" t="s">
        <v>4317</v>
      </c>
      <c r="B4803" s="8" t="s">
        <v>4318</v>
      </c>
      <c r="C4803" s="8" t="s">
        <v>1345</v>
      </c>
      <c r="D4803" s="8" t="str">
        <f>"9783737606615"</f>
        <v>9783737606615</v>
      </c>
    </row>
    <row r="4804" spans="1:4" x14ac:dyDescent="0.25">
      <c r="A4804" s="7" t="s">
        <v>9129</v>
      </c>
      <c r="B4804" s="8" t="s">
        <v>9130</v>
      </c>
      <c r="C4804" s="8" t="s">
        <v>1053</v>
      </c>
      <c r="D4804" s="8" t="str">
        <f>"9781646421329"</f>
        <v>9781646421329</v>
      </c>
    </row>
    <row r="4805" spans="1:4" x14ac:dyDescent="0.25">
      <c r="A4805" s="7" t="s">
        <v>11259</v>
      </c>
      <c r="B4805" s="8" t="s">
        <v>170</v>
      </c>
      <c r="C4805" s="8" t="s">
        <v>355</v>
      </c>
      <c r="D4805" s="8" t="str">
        <f>"9783110720075"</f>
        <v>9783110720075</v>
      </c>
    </row>
    <row r="4806" spans="1:4" x14ac:dyDescent="0.25">
      <c r="A4806" s="7" t="s">
        <v>11317</v>
      </c>
      <c r="B4806" s="8" t="s">
        <v>100</v>
      </c>
      <c r="C4806" s="8" t="s">
        <v>355</v>
      </c>
      <c r="D4806" s="8" t="str">
        <f>"9783110720129"</f>
        <v>9783110720129</v>
      </c>
    </row>
    <row r="4807" spans="1:4" x14ac:dyDescent="0.25">
      <c r="A4807" s="7" t="s">
        <v>16114</v>
      </c>
      <c r="B4807" s="8" t="s">
        <v>16115</v>
      </c>
      <c r="C4807" s="8" t="s">
        <v>1865</v>
      </c>
      <c r="D4807" s="8" t="str">
        <f>"9789175190389"</f>
        <v>9789175190389</v>
      </c>
    </row>
    <row r="4808" spans="1:4" x14ac:dyDescent="0.25">
      <c r="A4808" s="7" t="s">
        <v>3917</v>
      </c>
      <c r="B4808" s="8" t="s">
        <v>3918</v>
      </c>
      <c r="C4808" s="8" t="s">
        <v>355</v>
      </c>
      <c r="D4808" s="8" t="str">
        <f>"9783110550832"</f>
        <v>9783110550832</v>
      </c>
    </row>
    <row r="4809" spans="1:4" x14ac:dyDescent="0.25">
      <c r="A4809" s="7" t="s">
        <v>14302</v>
      </c>
      <c r="B4809" s="8" t="s">
        <v>14303</v>
      </c>
      <c r="C4809" s="8" t="s">
        <v>2273</v>
      </c>
      <c r="D4809" s="8" t="str">
        <f>"9783031224485"</f>
        <v>9783031224485</v>
      </c>
    </row>
    <row r="4810" spans="1:4" ht="30" x14ac:dyDescent="0.25">
      <c r="A4810" s="7" t="s">
        <v>6467</v>
      </c>
      <c r="B4810" s="8" t="s">
        <v>5755</v>
      </c>
      <c r="C4810" s="8" t="s">
        <v>2273</v>
      </c>
      <c r="D4810" s="8" t="str">
        <f>"9783030553968"</f>
        <v>9783030553968</v>
      </c>
    </row>
    <row r="4811" spans="1:4" ht="30" x14ac:dyDescent="0.25">
      <c r="A4811" s="7" t="s">
        <v>8826</v>
      </c>
      <c r="B4811" s="8" t="s">
        <v>8827</v>
      </c>
      <c r="C4811" s="8" t="s">
        <v>8805</v>
      </c>
      <c r="D4811" s="8" t="str">
        <f>"9781934831007"</f>
        <v>9781934831007</v>
      </c>
    </row>
    <row r="4812" spans="1:4" ht="30" x14ac:dyDescent="0.25">
      <c r="A4812" s="7" t="s">
        <v>7347</v>
      </c>
      <c r="B4812" s="8" t="s">
        <v>7348</v>
      </c>
      <c r="C4812" s="8" t="s">
        <v>2273</v>
      </c>
      <c r="D4812" s="8" t="str">
        <f>"9783030780715"</f>
        <v>9783030780715</v>
      </c>
    </row>
    <row r="4813" spans="1:4" x14ac:dyDescent="0.25">
      <c r="A4813" s="7" t="s">
        <v>318</v>
      </c>
      <c r="B4813" s="8" t="s">
        <v>319</v>
      </c>
      <c r="C4813" s="8" t="s">
        <v>316</v>
      </c>
      <c r="D4813" s="8" t="str">
        <f>"9783598440281"</f>
        <v>9783598440281</v>
      </c>
    </row>
    <row r="4814" spans="1:4" x14ac:dyDescent="0.25">
      <c r="A4814" s="7" t="s">
        <v>5126</v>
      </c>
      <c r="B4814" s="8" t="s">
        <v>5127</v>
      </c>
      <c r="C4814" s="8" t="s">
        <v>2273</v>
      </c>
      <c r="D4814" s="8" t="str">
        <f>"9783030431983"</f>
        <v>9783030431983</v>
      </c>
    </row>
    <row r="4815" spans="1:4" x14ac:dyDescent="0.25">
      <c r="A4815" s="7" t="s">
        <v>2145</v>
      </c>
      <c r="B4815" s="8" t="s">
        <v>2146</v>
      </c>
      <c r="C4815" s="8" t="s">
        <v>1879</v>
      </c>
      <c r="D4815" s="8" t="str">
        <f>"9781909254565"</f>
        <v>9781909254565</v>
      </c>
    </row>
    <row r="4816" spans="1:4" x14ac:dyDescent="0.25">
      <c r="A4816" s="7" t="s">
        <v>3727</v>
      </c>
      <c r="B4816" s="8" t="s">
        <v>3728</v>
      </c>
      <c r="C4816" s="8" t="s">
        <v>1865</v>
      </c>
      <c r="D4816" s="8" t="str">
        <f>"9789176853252"</f>
        <v>9789176853252</v>
      </c>
    </row>
    <row r="4817" spans="1:4" x14ac:dyDescent="0.25">
      <c r="A4817" s="7" t="s">
        <v>16357</v>
      </c>
      <c r="B4817" s="8" t="s">
        <v>15146</v>
      </c>
      <c r="C4817" s="8" t="s">
        <v>1865</v>
      </c>
      <c r="D4817" s="8" t="str">
        <f>"9789175198323"</f>
        <v>9789175198323</v>
      </c>
    </row>
    <row r="4818" spans="1:4" x14ac:dyDescent="0.25">
      <c r="A4818" s="7" t="s">
        <v>6472</v>
      </c>
      <c r="B4818" s="8" t="s">
        <v>6473</v>
      </c>
      <c r="C4818" s="8" t="s">
        <v>1865</v>
      </c>
      <c r="D4818" s="8" t="str">
        <f>"9789179297183"</f>
        <v>9789179297183</v>
      </c>
    </row>
    <row r="4819" spans="1:4" x14ac:dyDescent="0.25">
      <c r="A4819" s="7" t="s">
        <v>15379</v>
      </c>
      <c r="B4819" s="8" t="s">
        <v>6473</v>
      </c>
      <c r="C4819" s="8" t="s">
        <v>1865</v>
      </c>
      <c r="D4819" s="8" t="str">
        <f>"9789176850114"</f>
        <v>9789176850114</v>
      </c>
    </row>
    <row r="4820" spans="1:4" x14ac:dyDescent="0.25">
      <c r="A4820" s="7" t="s">
        <v>11960</v>
      </c>
      <c r="B4820" s="8" t="s">
        <v>11961</v>
      </c>
      <c r="C4820" s="8" t="s">
        <v>355</v>
      </c>
      <c r="D4820" s="8" t="str">
        <f>"9783111612089"</f>
        <v>9783111612089</v>
      </c>
    </row>
    <row r="4821" spans="1:4" x14ac:dyDescent="0.25">
      <c r="A4821" s="7" t="s">
        <v>12130</v>
      </c>
      <c r="B4821" s="8" t="s">
        <v>12131</v>
      </c>
      <c r="C4821" s="8" t="s">
        <v>355</v>
      </c>
      <c r="D4821" s="8" t="str">
        <f>"9783486741803"</f>
        <v>9783486741803</v>
      </c>
    </row>
    <row r="4822" spans="1:4" x14ac:dyDescent="0.25">
      <c r="A4822" s="7" t="s">
        <v>11677</v>
      </c>
      <c r="B4822" s="8" t="s">
        <v>11678</v>
      </c>
      <c r="C4822" s="8" t="s">
        <v>355</v>
      </c>
      <c r="D4822" s="8" t="str">
        <f>"9783486740813"</f>
        <v>9783486740813</v>
      </c>
    </row>
    <row r="4823" spans="1:4" x14ac:dyDescent="0.25">
      <c r="A4823" s="7" t="s">
        <v>2868</v>
      </c>
      <c r="B4823" s="8" t="s">
        <v>2869</v>
      </c>
      <c r="C4823" s="8" t="s">
        <v>1865</v>
      </c>
      <c r="D4823" s="8" t="str">
        <f>"9789176856482"</f>
        <v>9789176856482</v>
      </c>
    </row>
    <row r="4824" spans="1:4" ht="30" x14ac:dyDescent="0.25">
      <c r="A4824" s="7" t="s">
        <v>4581</v>
      </c>
      <c r="B4824" s="8" t="s">
        <v>4582</v>
      </c>
      <c r="C4824" s="8" t="s">
        <v>1865</v>
      </c>
      <c r="D4824" s="8" t="str">
        <f>"9789176850145"</f>
        <v>9789176850145</v>
      </c>
    </row>
    <row r="4825" spans="1:4" ht="30" x14ac:dyDescent="0.25">
      <c r="A4825" s="7" t="s">
        <v>15733</v>
      </c>
      <c r="B4825" s="8" t="s">
        <v>15734</v>
      </c>
      <c r="C4825" s="8" t="s">
        <v>1865</v>
      </c>
      <c r="D4825" s="8" t="str">
        <f>"9789175190853"</f>
        <v>9789175190853</v>
      </c>
    </row>
    <row r="4826" spans="1:4" ht="30" x14ac:dyDescent="0.25">
      <c r="A4826" s="7" t="s">
        <v>15079</v>
      </c>
      <c r="B4826" s="8" t="s">
        <v>15080</v>
      </c>
      <c r="C4826" s="8" t="s">
        <v>1865</v>
      </c>
      <c r="D4826" s="8" t="str">
        <f>"9789175194288"</f>
        <v>9789175194288</v>
      </c>
    </row>
    <row r="4827" spans="1:4" ht="30" x14ac:dyDescent="0.25">
      <c r="A4827" s="7" t="s">
        <v>16163</v>
      </c>
      <c r="B4827" s="8" t="s">
        <v>16164</v>
      </c>
      <c r="C4827" s="8" t="s">
        <v>1865</v>
      </c>
      <c r="D4827" s="8" t="str">
        <f>"9789180750035"</f>
        <v>9789180750035</v>
      </c>
    </row>
    <row r="4828" spans="1:4" x14ac:dyDescent="0.25">
      <c r="A4828" s="7" t="s">
        <v>3400</v>
      </c>
      <c r="B4828" s="8" t="s">
        <v>3401</v>
      </c>
      <c r="C4828" s="8" t="s">
        <v>1865</v>
      </c>
      <c r="D4828" s="8" t="str">
        <f>"9789176854419"</f>
        <v>9789176854419</v>
      </c>
    </row>
    <row r="4829" spans="1:4" ht="30" x14ac:dyDescent="0.25">
      <c r="A4829" s="7" t="s">
        <v>4050</v>
      </c>
      <c r="B4829" s="8" t="s">
        <v>4051</v>
      </c>
      <c r="C4829" s="8" t="s">
        <v>1865</v>
      </c>
      <c r="D4829" s="8" t="str">
        <f>"9789176852125"</f>
        <v>9789176852125</v>
      </c>
    </row>
    <row r="4830" spans="1:4" x14ac:dyDescent="0.25">
      <c r="A4830" s="7" t="s">
        <v>10016</v>
      </c>
      <c r="B4830" s="8" t="s">
        <v>9805</v>
      </c>
      <c r="C4830" s="8" t="s">
        <v>993</v>
      </c>
      <c r="D4830" s="8" t="str">
        <f>"9783839410325"</f>
        <v>9783839410325</v>
      </c>
    </row>
    <row r="4831" spans="1:4" x14ac:dyDescent="0.25">
      <c r="A4831" s="7" t="s">
        <v>8460</v>
      </c>
      <c r="B4831" s="8" t="s">
        <v>8461</v>
      </c>
      <c r="C4831" s="8" t="s">
        <v>993</v>
      </c>
      <c r="D4831" s="8" t="str">
        <f>"9783839448748"</f>
        <v>9783839448748</v>
      </c>
    </row>
    <row r="4832" spans="1:4" x14ac:dyDescent="0.25">
      <c r="A4832" s="7" t="s">
        <v>5164</v>
      </c>
      <c r="B4832" s="8" t="s">
        <v>5165</v>
      </c>
      <c r="C4832" s="8" t="s">
        <v>562</v>
      </c>
      <c r="D4832" s="8" t="str">
        <f>"9781478012313"</f>
        <v>9781478012313</v>
      </c>
    </row>
    <row r="4833" spans="1:4" x14ac:dyDescent="0.25">
      <c r="A4833" s="7" t="s">
        <v>5877</v>
      </c>
      <c r="B4833" s="8" t="s">
        <v>5878</v>
      </c>
      <c r="C4833" s="8" t="s">
        <v>2273</v>
      </c>
      <c r="D4833" s="8" t="str">
        <f>"9783319464992"</f>
        <v>9783319464992</v>
      </c>
    </row>
    <row r="4834" spans="1:4" x14ac:dyDescent="0.25">
      <c r="A4834" s="7" t="s">
        <v>586</v>
      </c>
      <c r="B4834" s="8" t="s">
        <v>587</v>
      </c>
      <c r="C4834" s="8" t="s">
        <v>562</v>
      </c>
      <c r="D4834" s="8" t="str">
        <f>"9780822391326"</f>
        <v>9780822391326</v>
      </c>
    </row>
    <row r="4835" spans="1:4" ht="30" x14ac:dyDescent="0.25">
      <c r="A4835" s="7" t="s">
        <v>10455</v>
      </c>
      <c r="B4835" s="8" t="s">
        <v>10456</v>
      </c>
      <c r="C4835" s="8" t="s">
        <v>993</v>
      </c>
      <c r="D4835" s="8" t="str">
        <f>"9783839457023"</f>
        <v>9783839457023</v>
      </c>
    </row>
    <row r="4836" spans="1:4" x14ac:dyDescent="0.25">
      <c r="A4836" s="7" t="s">
        <v>868</v>
      </c>
      <c r="B4836" s="8" t="s">
        <v>869</v>
      </c>
      <c r="C4836" s="8" t="s">
        <v>355</v>
      </c>
      <c r="D4836" s="8" t="str">
        <f>"9783110347227"</f>
        <v>9783110347227</v>
      </c>
    </row>
    <row r="4837" spans="1:4" ht="30" x14ac:dyDescent="0.25">
      <c r="A4837" s="7" t="s">
        <v>8141</v>
      </c>
      <c r="B4837" s="8" t="s">
        <v>8142</v>
      </c>
      <c r="C4837" s="8" t="s">
        <v>993</v>
      </c>
      <c r="D4837" s="8" t="str">
        <f>"9783839447536"</f>
        <v>9783839447536</v>
      </c>
    </row>
    <row r="4838" spans="1:4" x14ac:dyDescent="0.25">
      <c r="A4838" s="7" t="s">
        <v>13750</v>
      </c>
      <c r="B4838" s="8" t="s">
        <v>13751</v>
      </c>
      <c r="C4838" s="8" t="s">
        <v>5134</v>
      </c>
      <c r="D4838" s="8" t="str">
        <f>"9783662663011"</f>
        <v>9783662663011</v>
      </c>
    </row>
    <row r="4839" spans="1:4" x14ac:dyDescent="0.25">
      <c r="A4839" s="7" t="s">
        <v>5109</v>
      </c>
      <c r="B4839" s="8" t="s">
        <v>5110</v>
      </c>
      <c r="C4839" s="8" t="s">
        <v>2273</v>
      </c>
      <c r="D4839" s="8" t="str">
        <f>"9783319965208"</f>
        <v>9783319965208</v>
      </c>
    </row>
    <row r="4840" spans="1:4" ht="30" x14ac:dyDescent="0.25">
      <c r="A4840" s="7" t="s">
        <v>10243</v>
      </c>
      <c r="B4840" s="8" t="s">
        <v>10244</v>
      </c>
      <c r="C4840" s="8" t="s">
        <v>993</v>
      </c>
      <c r="D4840" s="8" t="str">
        <f>"9783839445822"</f>
        <v>9783839445822</v>
      </c>
    </row>
    <row r="4841" spans="1:4" x14ac:dyDescent="0.25">
      <c r="A4841" s="7" t="s">
        <v>710</v>
      </c>
      <c r="B4841" s="8" t="s">
        <v>711</v>
      </c>
      <c r="C4841" s="8" t="s">
        <v>316</v>
      </c>
      <c r="D4841" s="8" t="str">
        <f>"9783110321364"</f>
        <v>9783110321364</v>
      </c>
    </row>
    <row r="4842" spans="1:4" x14ac:dyDescent="0.25">
      <c r="A4842" s="7" t="s">
        <v>7596</v>
      </c>
      <c r="B4842" s="8" t="s">
        <v>7597</v>
      </c>
      <c r="C4842" s="8" t="s">
        <v>993</v>
      </c>
      <c r="D4842" s="8" t="str">
        <f>"9783839418314"</f>
        <v>9783839418314</v>
      </c>
    </row>
    <row r="4843" spans="1:4" x14ac:dyDescent="0.25">
      <c r="A4843" s="7" t="s">
        <v>10564</v>
      </c>
      <c r="B4843" s="8" t="s">
        <v>10565</v>
      </c>
      <c r="C4843" s="8" t="s">
        <v>993</v>
      </c>
      <c r="D4843" s="8" t="str">
        <f>"9783839460009"</f>
        <v>9783839460009</v>
      </c>
    </row>
    <row r="4844" spans="1:4" x14ac:dyDescent="0.25">
      <c r="A4844" s="7" t="s">
        <v>9720</v>
      </c>
      <c r="B4844" s="8" t="s">
        <v>9721</v>
      </c>
      <c r="C4844" s="8" t="s">
        <v>993</v>
      </c>
      <c r="D4844" s="8" t="str">
        <f>"9783839402757"</f>
        <v>9783839402757</v>
      </c>
    </row>
    <row r="4845" spans="1:4" x14ac:dyDescent="0.25">
      <c r="A4845" s="7" t="s">
        <v>8311</v>
      </c>
      <c r="B4845" s="8" t="s">
        <v>8312</v>
      </c>
      <c r="C4845" s="8" t="s">
        <v>993</v>
      </c>
      <c r="D4845" s="8" t="str">
        <f>"9783839450024"</f>
        <v>9783839450024</v>
      </c>
    </row>
    <row r="4846" spans="1:4" x14ac:dyDescent="0.25">
      <c r="A4846" s="7" t="s">
        <v>9821</v>
      </c>
      <c r="B4846" s="8" t="s">
        <v>9822</v>
      </c>
      <c r="C4846" s="8" t="s">
        <v>993</v>
      </c>
      <c r="D4846" s="8" t="str">
        <f>"9783839405338"</f>
        <v>9783839405338</v>
      </c>
    </row>
    <row r="4847" spans="1:4" x14ac:dyDescent="0.25">
      <c r="A4847" s="7" t="s">
        <v>11182</v>
      </c>
      <c r="B4847" s="8" t="s">
        <v>11155</v>
      </c>
      <c r="C4847" s="8" t="s">
        <v>355</v>
      </c>
      <c r="D4847" s="8" t="str">
        <f>"9783110720310"</f>
        <v>9783110720310</v>
      </c>
    </row>
    <row r="4848" spans="1:4" x14ac:dyDescent="0.25">
      <c r="A4848" s="7" t="s">
        <v>12096</v>
      </c>
      <c r="B4848" s="8" t="s">
        <v>12097</v>
      </c>
      <c r="C4848" s="8" t="s">
        <v>355</v>
      </c>
      <c r="D4848" s="8" t="str">
        <f>"9783110776492"</f>
        <v>9783110776492</v>
      </c>
    </row>
    <row r="4849" spans="1:4" x14ac:dyDescent="0.25">
      <c r="A4849" s="7" t="s">
        <v>3513</v>
      </c>
      <c r="B4849" s="8" t="s">
        <v>3514</v>
      </c>
      <c r="C4849" s="8" t="s">
        <v>329</v>
      </c>
      <c r="D4849" s="8" t="str">
        <f>"9789048532179"</f>
        <v>9789048532179</v>
      </c>
    </row>
    <row r="4850" spans="1:4" x14ac:dyDescent="0.25">
      <c r="A4850" s="7" t="s">
        <v>7022</v>
      </c>
      <c r="B4850" s="8" t="s">
        <v>7023</v>
      </c>
      <c r="C4850" s="8" t="s">
        <v>4332</v>
      </c>
      <c r="D4850" s="8" t="str">
        <f>"9781641891462"</f>
        <v>9781641891462</v>
      </c>
    </row>
    <row r="4851" spans="1:4" x14ac:dyDescent="0.25">
      <c r="A4851" s="7" t="s">
        <v>2396</v>
      </c>
      <c r="B4851" s="8" t="s">
        <v>2397</v>
      </c>
      <c r="C4851" s="8" t="s">
        <v>329</v>
      </c>
      <c r="D4851" s="8" t="str">
        <f>"9789048524990"</f>
        <v>9789048524990</v>
      </c>
    </row>
    <row r="4852" spans="1:4" ht="30" x14ac:dyDescent="0.25">
      <c r="A4852" s="7" t="s">
        <v>10930</v>
      </c>
      <c r="B4852" s="8" t="s">
        <v>10931</v>
      </c>
      <c r="C4852" s="8" t="s">
        <v>355</v>
      </c>
      <c r="D4852" s="8" t="str">
        <f>"9783110555080"</f>
        <v>9783110555080</v>
      </c>
    </row>
    <row r="4853" spans="1:4" x14ac:dyDescent="0.25">
      <c r="A4853" s="7" t="s">
        <v>11828</v>
      </c>
      <c r="B4853" s="8" t="s">
        <v>11829</v>
      </c>
      <c r="C4853" s="8" t="s">
        <v>355</v>
      </c>
      <c r="D4853" s="8" t="str">
        <f>"9783111509709"</f>
        <v>9783111509709</v>
      </c>
    </row>
    <row r="4854" spans="1:4" x14ac:dyDescent="0.25">
      <c r="A4854" s="7" t="s">
        <v>11964</v>
      </c>
      <c r="B4854" s="8"/>
      <c r="C4854" s="8" t="s">
        <v>355</v>
      </c>
      <c r="D4854" s="8" t="str">
        <f>"9783111388618"</f>
        <v>9783111388618</v>
      </c>
    </row>
    <row r="4855" spans="1:4" x14ac:dyDescent="0.25">
      <c r="A4855" s="7" t="s">
        <v>10009</v>
      </c>
      <c r="B4855" s="8" t="s">
        <v>10010</v>
      </c>
      <c r="C4855" s="8" t="s">
        <v>993</v>
      </c>
      <c r="D4855" s="8" t="str">
        <f>"9783839410141"</f>
        <v>9783839410141</v>
      </c>
    </row>
    <row r="4856" spans="1:4" ht="30" x14ac:dyDescent="0.25">
      <c r="A4856" s="7" t="s">
        <v>10027</v>
      </c>
      <c r="B4856" s="8" t="s">
        <v>10028</v>
      </c>
      <c r="C4856" s="8" t="s">
        <v>993</v>
      </c>
      <c r="D4856" s="8" t="str">
        <f>"9783839410578"</f>
        <v>9783839410578</v>
      </c>
    </row>
    <row r="4857" spans="1:4" ht="30" x14ac:dyDescent="0.25">
      <c r="A4857" s="7" t="s">
        <v>7413</v>
      </c>
      <c r="B4857" s="8" t="s">
        <v>7414</v>
      </c>
      <c r="C4857" s="8" t="s">
        <v>5086</v>
      </c>
      <c r="D4857" s="8" t="str">
        <f>"9783658338688"</f>
        <v>9783658338688</v>
      </c>
    </row>
    <row r="4858" spans="1:4" ht="30" x14ac:dyDescent="0.25">
      <c r="A4858" s="7" t="s">
        <v>1622</v>
      </c>
      <c r="B4858" s="8" t="s">
        <v>1623</v>
      </c>
      <c r="C4858" s="8" t="s">
        <v>1345</v>
      </c>
      <c r="D4858" s="8" t="str">
        <f>"9783862190898"</f>
        <v>9783862190898</v>
      </c>
    </row>
    <row r="4859" spans="1:4" x14ac:dyDescent="0.25">
      <c r="A4859" s="7" t="s">
        <v>10723</v>
      </c>
      <c r="B4859" s="8" t="s">
        <v>10724</v>
      </c>
      <c r="C4859" s="8" t="s">
        <v>1876</v>
      </c>
      <c r="D4859" s="8" t="str">
        <f>"9780975747513"</f>
        <v>9780975747513</v>
      </c>
    </row>
    <row r="4860" spans="1:4" ht="30" x14ac:dyDescent="0.25">
      <c r="A4860" s="7" t="s">
        <v>2619</v>
      </c>
      <c r="B4860" s="8" t="s">
        <v>2620</v>
      </c>
      <c r="C4860" s="8" t="s">
        <v>355</v>
      </c>
      <c r="D4860" s="8" t="str">
        <f>"9783110440096"</f>
        <v>9783110440096</v>
      </c>
    </row>
    <row r="4861" spans="1:4" x14ac:dyDescent="0.25">
      <c r="A4861" s="7" t="s">
        <v>12544</v>
      </c>
      <c r="B4861" s="8" t="s">
        <v>12545</v>
      </c>
      <c r="C4861" s="8" t="s">
        <v>2082</v>
      </c>
      <c r="D4861" s="8" t="str">
        <f>"9780472902958"</f>
        <v>9780472902958</v>
      </c>
    </row>
    <row r="4862" spans="1:4" x14ac:dyDescent="0.25">
      <c r="A4862" s="7" t="s">
        <v>14930</v>
      </c>
      <c r="B4862" s="8" t="s">
        <v>14931</v>
      </c>
      <c r="C4862" s="8" t="s">
        <v>1865</v>
      </c>
      <c r="D4862" s="8" t="str">
        <f>"9789185895649"</f>
        <v>9789185895649</v>
      </c>
    </row>
    <row r="4863" spans="1:4" ht="30" x14ac:dyDescent="0.25">
      <c r="A4863" s="7" t="s">
        <v>15661</v>
      </c>
      <c r="B4863" s="8" t="s">
        <v>15662</v>
      </c>
      <c r="C4863" s="8" t="s">
        <v>1865</v>
      </c>
      <c r="D4863" s="8" t="str">
        <f>"9789176857199"</f>
        <v>9789176857199</v>
      </c>
    </row>
    <row r="4864" spans="1:4" ht="30" x14ac:dyDescent="0.25">
      <c r="A4864" s="7" t="s">
        <v>16092</v>
      </c>
      <c r="B4864" s="8" t="s">
        <v>16093</v>
      </c>
      <c r="C4864" s="8" t="s">
        <v>1865</v>
      </c>
      <c r="D4864" s="8" t="str">
        <f>"9789173939935"</f>
        <v>9789173939935</v>
      </c>
    </row>
    <row r="4865" spans="1:4" ht="30" x14ac:dyDescent="0.25">
      <c r="A4865" s="7" t="s">
        <v>5281</v>
      </c>
      <c r="B4865" s="8" t="s">
        <v>5282</v>
      </c>
      <c r="C4865" s="8" t="s">
        <v>2273</v>
      </c>
      <c r="D4865" s="8" t="str">
        <f>"9783319175454"</f>
        <v>9783319175454</v>
      </c>
    </row>
    <row r="4866" spans="1:4" x14ac:dyDescent="0.25">
      <c r="A4866" s="7" t="s">
        <v>3495</v>
      </c>
      <c r="B4866" s="8" t="s">
        <v>3496</v>
      </c>
      <c r="C4866" s="8" t="s">
        <v>993</v>
      </c>
      <c r="D4866" s="8" t="str">
        <f>"9783839440452"</f>
        <v>9783839440452</v>
      </c>
    </row>
    <row r="4867" spans="1:4" ht="30" x14ac:dyDescent="0.25">
      <c r="A4867" s="7" t="s">
        <v>3557</v>
      </c>
      <c r="B4867" s="8" t="s">
        <v>3558</v>
      </c>
      <c r="C4867" s="8" t="s">
        <v>1962</v>
      </c>
      <c r="D4867" s="8" t="str">
        <f>"9782759227389"</f>
        <v>9782759227389</v>
      </c>
    </row>
    <row r="4868" spans="1:4" x14ac:dyDescent="0.25">
      <c r="A4868" s="7" t="s">
        <v>10593</v>
      </c>
      <c r="B4868" s="8" t="s">
        <v>10594</v>
      </c>
      <c r="C4868" s="8" t="s">
        <v>993</v>
      </c>
      <c r="D4868" s="8" t="str">
        <f>"9783839461242"</f>
        <v>9783839461242</v>
      </c>
    </row>
    <row r="4869" spans="1:4" x14ac:dyDescent="0.25">
      <c r="A4869" s="7" t="s">
        <v>302</v>
      </c>
      <c r="B4869" s="8" t="s">
        <v>303</v>
      </c>
      <c r="C4869" s="8" t="s">
        <v>227</v>
      </c>
      <c r="D4869" s="8" t="str">
        <f>"9781847790408"</f>
        <v>9781847790408</v>
      </c>
    </row>
    <row r="4870" spans="1:4" x14ac:dyDescent="0.25">
      <c r="A4870" s="7" t="s">
        <v>8966</v>
      </c>
      <c r="B4870" s="8" t="s">
        <v>8967</v>
      </c>
      <c r="C4870" s="8" t="s">
        <v>1342</v>
      </c>
      <c r="D4870" s="8" t="str">
        <f>"9789633863817"</f>
        <v>9789633863817</v>
      </c>
    </row>
    <row r="4871" spans="1:4" ht="30" x14ac:dyDescent="0.25">
      <c r="A4871" s="7" t="s">
        <v>16305</v>
      </c>
      <c r="B4871" s="8" t="s">
        <v>16306</v>
      </c>
      <c r="C4871" s="8" t="s">
        <v>1865</v>
      </c>
      <c r="D4871" s="8" t="str">
        <f>"9789176858110"</f>
        <v>9789176858110</v>
      </c>
    </row>
    <row r="4872" spans="1:4" x14ac:dyDescent="0.25">
      <c r="A4872" s="7" t="s">
        <v>11916</v>
      </c>
      <c r="B4872" s="8" t="s">
        <v>11917</v>
      </c>
      <c r="C4872" s="8" t="s">
        <v>355</v>
      </c>
      <c r="D4872" s="8" t="str">
        <f>"9783110651874"</f>
        <v>9783110651874</v>
      </c>
    </row>
    <row r="4873" spans="1:4" x14ac:dyDescent="0.25">
      <c r="A4873" s="7" t="s">
        <v>11552</v>
      </c>
      <c r="B4873" s="8" t="s">
        <v>11553</v>
      </c>
      <c r="C4873" s="8" t="s">
        <v>355</v>
      </c>
      <c r="D4873" s="8" t="str">
        <f>"9783110825411"</f>
        <v>9783110825411</v>
      </c>
    </row>
    <row r="4874" spans="1:4" x14ac:dyDescent="0.25">
      <c r="A4874" s="7" t="s">
        <v>14199</v>
      </c>
      <c r="B4874" s="8" t="s">
        <v>14200</v>
      </c>
      <c r="C4874" s="8" t="s">
        <v>9256</v>
      </c>
      <c r="D4874" s="8" t="str">
        <f>"9788028000585"</f>
        <v>9788028000585</v>
      </c>
    </row>
    <row r="4875" spans="1:4" x14ac:dyDescent="0.25">
      <c r="A4875" s="7" t="s">
        <v>6328</v>
      </c>
      <c r="B4875" s="8" t="s">
        <v>4526</v>
      </c>
      <c r="C4875" s="8" t="s">
        <v>1879</v>
      </c>
      <c r="D4875" s="8" t="str">
        <f>"9781800640795"</f>
        <v>9781800640795</v>
      </c>
    </row>
    <row r="4876" spans="1:4" ht="30" x14ac:dyDescent="0.25">
      <c r="A4876" s="7" t="s">
        <v>1611</v>
      </c>
      <c r="B4876" s="8" t="s">
        <v>1612</v>
      </c>
      <c r="C4876" s="8" t="s">
        <v>1345</v>
      </c>
      <c r="D4876" s="8" t="str">
        <f>"9783862191239"</f>
        <v>9783862191239</v>
      </c>
    </row>
    <row r="4877" spans="1:4" x14ac:dyDescent="0.25">
      <c r="A4877" s="7" t="s">
        <v>9683</v>
      </c>
      <c r="B4877" s="8" t="s">
        <v>9684</v>
      </c>
      <c r="C4877" s="8" t="s">
        <v>993</v>
      </c>
      <c r="D4877" s="8" t="str">
        <f>"9783839401262"</f>
        <v>9783839401262</v>
      </c>
    </row>
    <row r="4878" spans="1:4" ht="30" x14ac:dyDescent="0.25">
      <c r="A4878" s="7" t="s">
        <v>10373</v>
      </c>
      <c r="B4878" s="8" t="s">
        <v>10374</v>
      </c>
      <c r="C4878" s="8" t="s">
        <v>993</v>
      </c>
      <c r="D4878" s="8" t="str">
        <f>"9783839453131"</f>
        <v>9783839453131</v>
      </c>
    </row>
    <row r="4879" spans="1:4" x14ac:dyDescent="0.25">
      <c r="A4879" s="7" t="s">
        <v>2246</v>
      </c>
      <c r="B4879" s="8" t="s">
        <v>2247</v>
      </c>
      <c r="C4879" s="8" t="s">
        <v>355</v>
      </c>
      <c r="D4879" s="8" t="str">
        <f>"9783110443929"</f>
        <v>9783110443929</v>
      </c>
    </row>
    <row r="4880" spans="1:4" x14ac:dyDescent="0.25">
      <c r="A4880" s="7" t="s">
        <v>2242</v>
      </c>
      <c r="B4880" s="8" t="s">
        <v>2243</v>
      </c>
      <c r="C4880" s="8" t="s">
        <v>355</v>
      </c>
      <c r="D4880" s="8" t="str">
        <f>"9783110443882"</f>
        <v>9783110443882</v>
      </c>
    </row>
    <row r="4881" spans="1:4" x14ac:dyDescent="0.25">
      <c r="A4881" s="7" t="s">
        <v>2244</v>
      </c>
      <c r="B4881" s="8" t="s">
        <v>2245</v>
      </c>
      <c r="C4881" s="8" t="s">
        <v>355</v>
      </c>
      <c r="D4881" s="8" t="str">
        <f>"9783110443905"</f>
        <v>9783110443905</v>
      </c>
    </row>
    <row r="4882" spans="1:4" x14ac:dyDescent="0.25">
      <c r="A4882" s="7" t="s">
        <v>13055</v>
      </c>
      <c r="B4882" s="8" t="s">
        <v>13056</v>
      </c>
      <c r="C4882" s="8" t="s">
        <v>12712</v>
      </c>
      <c r="D4882" s="8" t="str">
        <f>"9783428557165"</f>
        <v>9783428557165</v>
      </c>
    </row>
    <row r="4883" spans="1:4" ht="30" x14ac:dyDescent="0.25">
      <c r="A4883" s="7" t="s">
        <v>8529</v>
      </c>
      <c r="B4883" s="8" t="s">
        <v>8530</v>
      </c>
      <c r="C4883" s="8" t="s">
        <v>993</v>
      </c>
      <c r="D4883" s="8" t="str">
        <f>"9783839441794"</f>
        <v>9783839441794</v>
      </c>
    </row>
    <row r="4884" spans="1:4" ht="30" x14ac:dyDescent="0.25">
      <c r="A4884" s="7" t="s">
        <v>7495</v>
      </c>
      <c r="B4884" s="8" t="s">
        <v>7496</v>
      </c>
      <c r="C4884" s="8" t="s">
        <v>993</v>
      </c>
      <c r="D4884" s="8" t="str">
        <f>"9783839439418"</f>
        <v>9783839439418</v>
      </c>
    </row>
    <row r="4885" spans="1:4" x14ac:dyDescent="0.25">
      <c r="A4885" s="7" t="s">
        <v>9892</v>
      </c>
      <c r="B4885" s="8" t="s">
        <v>9893</v>
      </c>
      <c r="C4885" s="8" t="s">
        <v>993</v>
      </c>
      <c r="D4885" s="8" t="str">
        <f>"9783839407547"</f>
        <v>9783839407547</v>
      </c>
    </row>
    <row r="4886" spans="1:4" x14ac:dyDescent="0.25">
      <c r="A4886" s="7" t="s">
        <v>2103</v>
      </c>
      <c r="B4886" s="8" t="s">
        <v>2104</v>
      </c>
      <c r="C4886" s="8" t="s">
        <v>1345</v>
      </c>
      <c r="D4886" s="8" t="str">
        <f>""</f>
        <v/>
      </c>
    </row>
    <row r="4887" spans="1:4" x14ac:dyDescent="0.25">
      <c r="A4887" s="7" t="s">
        <v>4145</v>
      </c>
      <c r="B4887" s="8" t="s">
        <v>4146</v>
      </c>
      <c r="C4887" s="8" t="s">
        <v>1865</v>
      </c>
      <c r="D4887" s="8" t="str">
        <f>"9789176851890"</f>
        <v>9789176851890</v>
      </c>
    </row>
    <row r="4888" spans="1:4" ht="30" x14ac:dyDescent="0.25">
      <c r="A4888" s="7" t="s">
        <v>1782</v>
      </c>
      <c r="B4888" s="8" t="s">
        <v>1712</v>
      </c>
      <c r="C4888" s="8" t="s">
        <v>1345</v>
      </c>
      <c r="D4888" s="8" t="str">
        <f>"9783862196272"</f>
        <v>9783862196272</v>
      </c>
    </row>
    <row r="4889" spans="1:4" x14ac:dyDescent="0.25">
      <c r="A4889" s="7" t="s">
        <v>6137</v>
      </c>
      <c r="B4889" s="8" t="s">
        <v>6138</v>
      </c>
      <c r="C4889" s="8" t="s">
        <v>4245</v>
      </c>
      <c r="D4889" s="8" t="str">
        <f>"9789811073922"</f>
        <v>9789811073922</v>
      </c>
    </row>
    <row r="4890" spans="1:4" ht="30" x14ac:dyDescent="0.25">
      <c r="A4890" s="7" t="s">
        <v>5923</v>
      </c>
      <c r="B4890" s="8" t="s">
        <v>5279</v>
      </c>
      <c r="C4890" s="8" t="s">
        <v>2273</v>
      </c>
      <c r="D4890" s="8" t="str">
        <f>"9783319131351"</f>
        <v>9783319131351</v>
      </c>
    </row>
    <row r="4891" spans="1:4" x14ac:dyDescent="0.25">
      <c r="A4891" s="7" t="s">
        <v>15646</v>
      </c>
      <c r="B4891" s="8" t="s">
        <v>15647</v>
      </c>
      <c r="C4891" s="8" t="s">
        <v>1865</v>
      </c>
      <c r="D4891" s="8" t="str">
        <f>"9789175197302"</f>
        <v>9789175197302</v>
      </c>
    </row>
    <row r="4892" spans="1:4" x14ac:dyDescent="0.25">
      <c r="A4892" s="7" t="s">
        <v>3657</v>
      </c>
      <c r="B4892" s="8" t="s">
        <v>3658</v>
      </c>
      <c r="C4892" s="8" t="s">
        <v>1865</v>
      </c>
      <c r="D4892" s="8" t="str">
        <f>"9789176853306"</f>
        <v>9789176853306</v>
      </c>
    </row>
    <row r="4893" spans="1:4" ht="30" x14ac:dyDescent="0.25">
      <c r="A4893" s="7" t="s">
        <v>15864</v>
      </c>
      <c r="B4893" s="8" t="s">
        <v>15865</v>
      </c>
      <c r="C4893" s="8" t="s">
        <v>1865</v>
      </c>
      <c r="D4893" s="8" t="str">
        <f>"9789180750400"</f>
        <v>9789180750400</v>
      </c>
    </row>
    <row r="4894" spans="1:4" x14ac:dyDescent="0.25">
      <c r="A4894" s="7" t="s">
        <v>4088</v>
      </c>
      <c r="B4894" s="8" t="s">
        <v>4089</v>
      </c>
      <c r="C4894" s="8" t="s">
        <v>355</v>
      </c>
      <c r="D4894" s="8" t="str">
        <f>"9781501506550"</f>
        <v>9781501506550</v>
      </c>
    </row>
    <row r="4895" spans="1:4" x14ac:dyDescent="0.25">
      <c r="A4895" s="7" t="s">
        <v>5611</v>
      </c>
      <c r="B4895" s="8" t="s">
        <v>5612</v>
      </c>
      <c r="C4895" s="8" t="s">
        <v>4245</v>
      </c>
      <c r="D4895" s="8" t="str">
        <f>"9789811597855"</f>
        <v>9789811597855</v>
      </c>
    </row>
    <row r="4896" spans="1:4" x14ac:dyDescent="0.25">
      <c r="A4896" s="7" t="s">
        <v>472</v>
      </c>
      <c r="B4896" s="8" t="s">
        <v>473</v>
      </c>
      <c r="C4896" s="8" t="s">
        <v>316</v>
      </c>
      <c r="D4896" s="8" t="str">
        <f>"9783110258240"</f>
        <v>9783110258240</v>
      </c>
    </row>
    <row r="4897" spans="1:4" ht="30" x14ac:dyDescent="0.25">
      <c r="A4897" s="7" t="s">
        <v>6253</v>
      </c>
      <c r="B4897" s="8" t="s">
        <v>6254</v>
      </c>
      <c r="C4897" s="8" t="s">
        <v>5134</v>
      </c>
      <c r="D4897" s="8" t="str">
        <f>"9783662492642"</f>
        <v>9783662492642</v>
      </c>
    </row>
    <row r="4898" spans="1:4" x14ac:dyDescent="0.25">
      <c r="A4898" s="7" t="s">
        <v>2387</v>
      </c>
      <c r="B4898" s="8" t="s">
        <v>2388</v>
      </c>
      <c r="C4898" s="8" t="s">
        <v>1879</v>
      </c>
      <c r="D4898" s="8" t="str">
        <f>"9781783742004"</f>
        <v>9781783742004</v>
      </c>
    </row>
    <row r="4899" spans="1:4" x14ac:dyDescent="0.25">
      <c r="A4899" s="7" t="s">
        <v>5566</v>
      </c>
      <c r="B4899" s="8" t="s">
        <v>5567</v>
      </c>
      <c r="C4899" s="8" t="s">
        <v>1865</v>
      </c>
      <c r="D4899" s="8" t="str">
        <f>"9789179298050"</f>
        <v>9789179298050</v>
      </c>
    </row>
    <row r="4900" spans="1:4" ht="30" x14ac:dyDescent="0.25">
      <c r="A4900" s="7" t="s">
        <v>14793</v>
      </c>
      <c r="B4900" s="8" t="s">
        <v>5567</v>
      </c>
      <c r="C4900" s="8" t="s">
        <v>1865</v>
      </c>
      <c r="D4900" s="8" t="str">
        <f>"9789176851449"</f>
        <v>9789176851449</v>
      </c>
    </row>
    <row r="4901" spans="1:4" x14ac:dyDescent="0.25">
      <c r="A4901" s="7" t="s">
        <v>9131</v>
      </c>
      <c r="B4901" s="8" t="s">
        <v>9132</v>
      </c>
      <c r="C4901" s="8" t="s">
        <v>2273</v>
      </c>
      <c r="D4901" s="8" t="str">
        <f>"9783030670245"</f>
        <v>9783030670245</v>
      </c>
    </row>
    <row r="4902" spans="1:4" ht="30" x14ac:dyDescent="0.25">
      <c r="A4902" s="7" t="s">
        <v>15605</v>
      </c>
      <c r="B4902" s="8" t="s">
        <v>3288</v>
      </c>
      <c r="C4902" s="8" t="s">
        <v>1865</v>
      </c>
      <c r="D4902" s="8" t="str">
        <f>"9789175197210"</f>
        <v>9789175197210</v>
      </c>
    </row>
    <row r="4903" spans="1:4" x14ac:dyDescent="0.25">
      <c r="A4903" s="7" t="s">
        <v>3287</v>
      </c>
      <c r="B4903" s="8" t="s">
        <v>3288</v>
      </c>
      <c r="C4903" s="8" t="s">
        <v>1865</v>
      </c>
      <c r="D4903" s="8" t="str">
        <f>"9789176854822"</f>
        <v>9789176854822</v>
      </c>
    </row>
    <row r="4904" spans="1:4" ht="30" x14ac:dyDescent="0.25">
      <c r="A4904" s="7" t="s">
        <v>9787</v>
      </c>
      <c r="B4904" s="8" t="s">
        <v>9788</v>
      </c>
      <c r="C4904" s="8" t="s">
        <v>993</v>
      </c>
      <c r="D4904" s="8" t="str">
        <f>"9783839404676"</f>
        <v>9783839404676</v>
      </c>
    </row>
    <row r="4905" spans="1:4" x14ac:dyDescent="0.25">
      <c r="A4905" s="7" t="s">
        <v>5919</v>
      </c>
      <c r="B4905" s="8" t="s">
        <v>5920</v>
      </c>
      <c r="C4905" s="8" t="s">
        <v>5134</v>
      </c>
      <c r="D4905" s="8" t="str">
        <f>"9783642363498"</f>
        <v>9783642363498</v>
      </c>
    </row>
    <row r="4906" spans="1:4" x14ac:dyDescent="0.25">
      <c r="A4906" s="7" t="s">
        <v>958</v>
      </c>
      <c r="B4906" s="8" t="s">
        <v>15</v>
      </c>
      <c r="C4906" s="8" t="s">
        <v>316</v>
      </c>
      <c r="D4906" s="8" t="str">
        <f>"9783110369120"</f>
        <v>9783110369120</v>
      </c>
    </row>
    <row r="4907" spans="1:4" x14ac:dyDescent="0.25">
      <c r="A4907" s="7" t="s">
        <v>15967</v>
      </c>
      <c r="B4907" s="8" t="s">
        <v>15968</v>
      </c>
      <c r="C4907" s="8" t="s">
        <v>1865</v>
      </c>
      <c r="D4907" s="8" t="str">
        <f>"9789176858653"</f>
        <v>9789176858653</v>
      </c>
    </row>
    <row r="4908" spans="1:4" x14ac:dyDescent="0.25">
      <c r="A4908" s="7" t="s">
        <v>11468</v>
      </c>
      <c r="B4908" s="8" t="s">
        <v>11469</v>
      </c>
      <c r="C4908" s="8" t="s">
        <v>355</v>
      </c>
      <c r="D4908" s="8" t="str">
        <f>"9783486761177"</f>
        <v>9783486761177</v>
      </c>
    </row>
    <row r="4909" spans="1:4" ht="30" x14ac:dyDescent="0.25">
      <c r="A4909" s="7" t="s">
        <v>3733</v>
      </c>
      <c r="B4909" s="8" t="s">
        <v>3734</v>
      </c>
      <c r="C4909" s="8" t="s">
        <v>1865</v>
      </c>
      <c r="D4909" s="8" t="str">
        <f>"9789176853139"</f>
        <v>9789176853139</v>
      </c>
    </row>
    <row r="4910" spans="1:4" x14ac:dyDescent="0.25">
      <c r="A4910" s="7" t="s">
        <v>14430</v>
      </c>
      <c r="B4910" s="8" t="s">
        <v>14431</v>
      </c>
      <c r="C4910" s="8" t="s">
        <v>1865</v>
      </c>
      <c r="D4910" s="8" t="str">
        <f>"9789179295004"</f>
        <v>9789179295004</v>
      </c>
    </row>
    <row r="4911" spans="1:4" x14ac:dyDescent="0.25">
      <c r="A4911" s="7" t="s">
        <v>15473</v>
      </c>
      <c r="B4911" s="8" t="s">
        <v>15474</v>
      </c>
      <c r="C4911" s="8" t="s">
        <v>1865</v>
      </c>
      <c r="D4911" s="8" t="str">
        <f>"9789175199344"</f>
        <v>9789175199344</v>
      </c>
    </row>
    <row r="4912" spans="1:4" ht="30" x14ac:dyDescent="0.25">
      <c r="A4912" s="7" t="s">
        <v>2684</v>
      </c>
      <c r="B4912" s="8" t="s">
        <v>2685</v>
      </c>
      <c r="C4912" s="8" t="s">
        <v>316</v>
      </c>
      <c r="D4912" s="8" t="str">
        <f>"9783110417944"</f>
        <v>9783110417944</v>
      </c>
    </row>
    <row r="4913" spans="1:4" x14ac:dyDescent="0.25">
      <c r="A4913" s="7" t="s">
        <v>14568</v>
      </c>
      <c r="B4913" s="8" t="s">
        <v>14569</v>
      </c>
      <c r="C4913" s="8" t="s">
        <v>1865</v>
      </c>
      <c r="D4913" s="8" t="str">
        <f>"9789179293871"</f>
        <v>9789179293871</v>
      </c>
    </row>
    <row r="4914" spans="1:4" ht="30" x14ac:dyDescent="0.25">
      <c r="A4914" s="7" t="s">
        <v>1441</v>
      </c>
      <c r="B4914" s="8" t="s">
        <v>1442</v>
      </c>
      <c r="C4914" s="8" t="s">
        <v>1345</v>
      </c>
      <c r="D4914" s="8" t="str">
        <f>"9783862190959"</f>
        <v>9783862190959</v>
      </c>
    </row>
    <row r="4915" spans="1:4" ht="30" x14ac:dyDescent="0.25">
      <c r="A4915" s="7" t="s">
        <v>12797</v>
      </c>
      <c r="B4915" s="8" t="s">
        <v>12798</v>
      </c>
      <c r="C4915" s="8" t="s">
        <v>12712</v>
      </c>
      <c r="D4915" s="8" t="str">
        <f>"9783428424245"</f>
        <v>9783428424245</v>
      </c>
    </row>
    <row r="4916" spans="1:4" ht="30" x14ac:dyDescent="0.25">
      <c r="A4916" s="7" t="s">
        <v>2811</v>
      </c>
      <c r="B4916" s="8" t="s">
        <v>2812</v>
      </c>
      <c r="C4916" s="8" t="s">
        <v>1345</v>
      </c>
      <c r="D4916" s="8" t="str">
        <f>"9783737602037"</f>
        <v>9783737602037</v>
      </c>
    </row>
    <row r="4917" spans="1:4" x14ac:dyDescent="0.25">
      <c r="A4917" s="7" t="s">
        <v>8768</v>
      </c>
      <c r="B4917" s="8" t="s">
        <v>97</v>
      </c>
      <c r="C4917" s="8" t="s">
        <v>1962</v>
      </c>
      <c r="D4917" s="8" t="str">
        <f>"9782759233489"</f>
        <v>9782759233489</v>
      </c>
    </row>
    <row r="4918" spans="1:4" x14ac:dyDescent="0.25">
      <c r="A4918" s="7" t="s">
        <v>6789</v>
      </c>
      <c r="B4918" s="8" t="s">
        <v>6790</v>
      </c>
      <c r="C4918" s="8" t="s">
        <v>2273</v>
      </c>
      <c r="D4918" s="8" t="str">
        <f>"9783030650674"</f>
        <v>9783030650674</v>
      </c>
    </row>
    <row r="4919" spans="1:4" ht="30" x14ac:dyDescent="0.25">
      <c r="A4919" s="7" t="s">
        <v>5756</v>
      </c>
      <c r="B4919" s="8" t="s">
        <v>5757</v>
      </c>
      <c r="C4919" s="8" t="s">
        <v>2273</v>
      </c>
      <c r="D4919" s="8" t="str">
        <f>"9783319724089"</f>
        <v>9783319724089</v>
      </c>
    </row>
    <row r="4920" spans="1:4" ht="30" x14ac:dyDescent="0.25">
      <c r="A4920" s="7" t="s">
        <v>13658</v>
      </c>
      <c r="B4920" s="8" t="s">
        <v>13659</v>
      </c>
      <c r="C4920" s="8" t="s">
        <v>2273</v>
      </c>
      <c r="D4920" s="8" t="str">
        <f>"9783031145834"</f>
        <v>9783031145834</v>
      </c>
    </row>
    <row r="4921" spans="1:4" x14ac:dyDescent="0.25">
      <c r="A4921" s="7" t="s">
        <v>14898</v>
      </c>
      <c r="B4921" s="8" t="s">
        <v>4953</v>
      </c>
      <c r="C4921" s="8" t="s">
        <v>1865</v>
      </c>
      <c r="D4921" s="8" t="str">
        <f>"9789176852439"</f>
        <v>9789176852439</v>
      </c>
    </row>
    <row r="4922" spans="1:4" ht="30" x14ac:dyDescent="0.25">
      <c r="A4922" s="7" t="s">
        <v>15893</v>
      </c>
      <c r="B4922" s="8" t="s">
        <v>15894</v>
      </c>
      <c r="C4922" s="8" t="s">
        <v>1865</v>
      </c>
      <c r="D4922" s="8" t="str">
        <f>"9789176850367"</f>
        <v>9789176850367</v>
      </c>
    </row>
    <row r="4923" spans="1:4" x14ac:dyDescent="0.25">
      <c r="A4923" s="7" t="s">
        <v>16265</v>
      </c>
      <c r="B4923" s="8" t="s">
        <v>16266</v>
      </c>
      <c r="C4923" s="8" t="s">
        <v>1865</v>
      </c>
      <c r="D4923" s="8" t="str">
        <f>"9789176856109"</f>
        <v>9789176856109</v>
      </c>
    </row>
    <row r="4924" spans="1:4" ht="30" x14ac:dyDescent="0.25">
      <c r="A4924" s="7" t="s">
        <v>15769</v>
      </c>
      <c r="B4924" s="8" t="s">
        <v>15770</v>
      </c>
      <c r="C4924" s="8" t="s">
        <v>1865</v>
      </c>
      <c r="D4924" s="8" t="str">
        <f>"9789175198941"</f>
        <v>9789175198941</v>
      </c>
    </row>
    <row r="4925" spans="1:4" x14ac:dyDescent="0.25">
      <c r="A4925" s="7" t="s">
        <v>5232</v>
      </c>
      <c r="B4925" s="8" t="s">
        <v>5233</v>
      </c>
      <c r="C4925" s="8" t="s">
        <v>1865</v>
      </c>
      <c r="D4925" s="8" t="str">
        <f>"9789179297718"</f>
        <v>9789179297718</v>
      </c>
    </row>
    <row r="4926" spans="1:4" x14ac:dyDescent="0.25">
      <c r="A4926" s="7" t="s">
        <v>3285</v>
      </c>
      <c r="B4926" s="8" t="s">
        <v>3286</v>
      </c>
      <c r="C4926" s="8" t="s">
        <v>1865</v>
      </c>
      <c r="D4926" s="8" t="str">
        <f>"9789176854983"</f>
        <v>9789176854983</v>
      </c>
    </row>
    <row r="4927" spans="1:4" ht="30" x14ac:dyDescent="0.25">
      <c r="A4927" s="7" t="s">
        <v>15691</v>
      </c>
      <c r="B4927" s="8" t="s">
        <v>15692</v>
      </c>
      <c r="C4927" s="8" t="s">
        <v>1865</v>
      </c>
      <c r="D4927" s="8" t="str">
        <f>"9789175196275"</f>
        <v>9789175196275</v>
      </c>
    </row>
    <row r="4928" spans="1:4" x14ac:dyDescent="0.25">
      <c r="A4928" s="7" t="s">
        <v>10711</v>
      </c>
      <c r="B4928" s="8" t="s">
        <v>10712</v>
      </c>
      <c r="C4928" s="8" t="s">
        <v>1332</v>
      </c>
      <c r="D4928" s="8" t="str">
        <f>"9781780409122"</f>
        <v>9781780409122</v>
      </c>
    </row>
    <row r="4929" spans="1:4" x14ac:dyDescent="0.25">
      <c r="A4929" s="7" t="s">
        <v>15705</v>
      </c>
      <c r="B4929" s="8" t="s">
        <v>4924</v>
      </c>
      <c r="C4929" s="8" t="s">
        <v>1865</v>
      </c>
      <c r="D4929" s="8" t="str">
        <f>"9789176854907"</f>
        <v>9789176854907</v>
      </c>
    </row>
    <row r="4930" spans="1:4" x14ac:dyDescent="0.25">
      <c r="A4930" s="7" t="s">
        <v>6845</v>
      </c>
      <c r="B4930" s="8" t="s">
        <v>6846</v>
      </c>
      <c r="C4930" s="8" t="s">
        <v>1865</v>
      </c>
      <c r="D4930" s="8" t="str">
        <f>"9789179296650"</f>
        <v>9789179296650</v>
      </c>
    </row>
    <row r="4931" spans="1:4" x14ac:dyDescent="0.25">
      <c r="A4931" s="7" t="s">
        <v>8837</v>
      </c>
      <c r="B4931" s="8" t="s">
        <v>8838</v>
      </c>
      <c r="C4931" s="8" t="s">
        <v>8805</v>
      </c>
      <c r="D4931" s="8" t="str">
        <f>"9781934831168"</f>
        <v>9781934831168</v>
      </c>
    </row>
    <row r="4932" spans="1:4" x14ac:dyDescent="0.25">
      <c r="A4932" s="7" t="s">
        <v>9264</v>
      </c>
      <c r="B4932" s="8" t="s">
        <v>9265</v>
      </c>
      <c r="C4932" s="8" t="s">
        <v>9256</v>
      </c>
      <c r="D4932" s="8" t="str">
        <f>"9788021080942"</f>
        <v>9788021080942</v>
      </c>
    </row>
    <row r="4933" spans="1:4" ht="30" x14ac:dyDescent="0.25">
      <c r="A4933" s="7" t="s">
        <v>9424</v>
      </c>
      <c r="B4933" s="8" t="s">
        <v>9425</v>
      </c>
      <c r="C4933" s="8" t="s">
        <v>9256</v>
      </c>
      <c r="D4933" s="8" t="str">
        <f>"9788021098558"</f>
        <v>9788021098558</v>
      </c>
    </row>
    <row r="4934" spans="1:4" ht="30" x14ac:dyDescent="0.25">
      <c r="A4934" s="7" t="s">
        <v>9422</v>
      </c>
      <c r="B4934" s="8" t="s">
        <v>9371</v>
      </c>
      <c r="C4934" s="8" t="s">
        <v>9256</v>
      </c>
      <c r="D4934" s="8" t="str">
        <f>"9788021098411"</f>
        <v>9788021098411</v>
      </c>
    </row>
    <row r="4935" spans="1:4" ht="30" x14ac:dyDescent="0.25">
      <c r="A4935" s="7" t="s">
        <v>14172</v>
      </c>
      <c r="B4935" s="8" t="s">
        <v>9288</v>
      </c>
      <c r="C4935" s="8" t="s">
        <v>9256</v>
      </c>
      <c r="D4935" s="8" t="str">
        <f>"9788021055780"</f>
        <v>9788021055780</v>
      </c>
    </row>
    <row r="4936" spans="1:4" ht="30" x14ac:dyDescent="0.25">
      <c r="A4936" s="7" t="s">
        <v>9260</v>
      </c>
      <c r="B4936" s="8" t="s">
        <v>9261</v>
      </c>
      <c r="C4936" s="8" t="s">
        <v>9256</v>
      </c>
      <c r="D4936" s="8" t="str">
        <f>"9788021066434"</f>
        <v>9788021066434</v>
      </c>
    </row>
    <row r="4937" spans="1:4" ht="30" x14ac:dyDescent="0.25">
      <c r="A4937" s="7" t="s">
        <v>9423</v>
      </c>
      <c r="B4937" s="8" t="s">
        <v>9344</v>
      </c>
      <c r="C4937" s="8" t="s">
        <v>9256</v>
      </c>
      <c r="D4937" s="8" t="str">
        <f>"9788021098459"</f>
        <v>9788021098459</v>
      </c>
    </row>
    <row r="4938" spans="1:4" ht="30" x14ac:dyDescent="0.25">
      <c r="A4938" s="7" t="s">
        <v>14182</v>
      </c>
      <c r="B4938" s="8" t="s">
        <v>14183</v>
      </c>
      <c r="C4938" s="8" t="s">
        <v>9256</v>
      </c>
      <c r="D4938" s="8" t="str">
        <f>"9788021098565"</f>
        <v>9788021098565</v>
      </c>
    </row>
    <row r="4939" spans="1:4" x14ac:dyDescent="0.25">
      <c r="A4939" s="7" t="s">
        <v>10713</v>
      </c>
      <c r="B4939" s="8" t="s">
        <v>10714</v>
      </c>
      <c r="C4939" s="8" t="s">
        <v>1332</v>
      </c>
      <c r="D4939" s="8" t="str">
        <f>"9781780409252"</f>
        <v>9781780409252</v>
      </c>
    </row>
    <row r="4940" spans="1:4" x14ac:dyDescent="0.25">
      <c r="A4940" s="7" t="s">
        <v>9447</v>
      </c>
      <c r="B4940" s="8" t="s">
        <v>9448</v>
      </c>
      <c r="C4940" s="8" t="s">
        <v>9256</v>
      </c>
      <c r="D4940" s="8" t="str">
        <f>"9788021099401"</f>
        <v>9788021099401</v>
      </c>
    </row>
    <row r="4941" spans="1:4" ht="30" x14ac:dyDescent="0.25">
      <c r="A4941" s="7" t="s">
        <v>2594</v>
      </c>
      <c r="B4941" s="8" t="s">
        <v>2595</v>
      </c>
      <c r="C4941" s="8" t="s">
        <v>562</v>
      </c>
      <c r="D4941" s="8" t="str">
        <f>"9780822374862"</f>
        <v>9780822374862</v>
      </c>
    </row>
    <row r="4942" spans="1:4" x14ac:dyDescent="0.25">
      <c r="A4942" s="7" t="s">
        <v>11347</v>
      </c>
      <c r="B4942" s="8" t="s">
        <v>11157</v>
      </c>
      <c r="C4942" s="8" t="s">
        <v>355</v>
      </c>
      <c r="D4942" s="8" t="str">
        <f>"9783110720099"</f>
        <v>9783110720099</v>
      </c>
    </row>
    <row r="4943" spans="1:4" x14ac:dyDescent="0.25">
      <c r="A4943" s="7" t="s">
        <v>794</v>
      </c>
      <c r="B4943" s="8" t="s">
        <v>795</v>
      </c>
      <c r="C4943" s="8" t="s">
        <v>316</v>
      </c>
      <c r="D4943" s="8" t="str">
        <f>"9783110347302"</f>
        <v>9783110347302</v>
      </c>
    </row>
    <row r="4944" spans="1:4" x14ac:dyDescent="0.25">
      <c r="A4944" s="7" t="s">
        <v>9208</v>
      </c>
      <c r="B4944" s="8" t="s">
        <v>9209</v>
      </c>
      <c r="C4944" s="8" t="s">
        <v>4882</v>
      </c>
      <c r="D4944" s="8" t="str">
        <f>"9781781387665"</f>
        <v>9781781387665</v>
      </c>
    </row>
    <row r="4945" spans="1:4" ht="30" x14ac:dyDescent="0.25">
      <c r="A4945" s="7" t="s">
        <v>3159</v>
      </c>
      <c r="B4945" s="8" t="s">
        <v>3160</v>
      </c>
      <c r="C4945" s="8" t="s">
        <v>1865</v>
      </c>
      <c r="D4945" s="8" t="str">
        <f>"9789176855331"</f>
        <v>9789176855331</v>
      </c>
    </row>
    <row r="4946" spans="1:4" x14ac:dyDescent="0.25">
      <c r="A4946" s="7" t="s">
        <v>10717</v>
      </c>
      <c r="B4946" s="8" t="s">
        <v>10718</v>
      </c>
      <c r="C4946" s="8" t="s">
        <v>1332</v>
      </c>
      <c r="D4946" s="8" t="str">
        <f>"9781789062120"</f>
        <v>9781789062120</v>
      </c>
    </row>
    <row r="4947" spans="1:4" x14ac:dyDescent="0.25">
      <c r="A4947" s="7" t="s">
        <v>16180</v>
      </c>
      <c r="B4947" s="8" t="s">
        <v>16181</v>
      </c>
      <c r="C4947" s="8" t="s">
        <v>1865</v>
      </c>
      <c r="D4947" s="8" t="str">
        <f>"9789185895137"</f>
        <v>9789185895137</v>
      </c>
    </row>
    <row r="4948" spans="1:4" ht="30" x14ac:dyDescent="0.25">
      <c r="A4948" s="7" t="s">
        <v>14873</v>
      </c>
      <c r="B4948" s="8" t="s">
        <v>14874</v>
      </c>
      <c r="C4948" s="8" t="s">
        <v>1865</v>
      </c>
      <c r="D4948" s="8" t="str">
        <f>"9789176856154"</f>
        <v>9789176856154</v>
      </c>
    </row>
    <row r="4949" spans="1:4" x14ac:dyDescent="0.25">
      <c r="A4949" s="7" t="s">
        <v>6067</v>
      </c>
      <c r="B4949" s="8" t="s">
        <v>6068</v>
      </c>
      <c r="C4949" s="8" t="s">
        <v>5134</v>
      </c>
      <c r="D4949" s="8" t="str">
        <f>"9783642417047"</f>
        <v>9783642417047</v>
      </c>
    </row>
    <row r="4950" spans="1:4" x14ac:dyDescent="0.25">
      <c r="A4950" s="7" t="s">
        <v>3786</v>
      </c>
      <c r="B4950" s="8" t="s">
        <v>3787</v>
      </c>
      <c r="C4950" s="8" t="s">
        <v>1865</v>
      </c>
      <c r="D4950" s="8" t="str">
        <f>"9789176852828"</f>
        <v>9789176852828</v>
      </c>
    </row>
    <row r="4951" spans="1:4" x14ac:dyDescent="0.25">
      <c r="A4951" s="7" t="s">
        <v>14253</v>
      </c>
      <c r="B4951" s="8" t="s">
        <v>14254</v>
      </c>
      <c r="C4951" s="8" t="s">
        <v>2273</v>
      </c>
      <c r="D4951" s="8" t="str">
        <f>"9783031228131"</f>
        <v>9783031228131</v>
      </c>
    </row>
    <row r="4952" spans="1:4" ht="30" x14ac:dyDescent="0.25">
      <c r="A4952" s="7" t="s">
        <v>9046</v>
      </c>
      <c r="B4952" s="8" t="s">
        <v>9047</v>
      </c>
      <c r="C4952" s="8" t="s">
        <v>2273</v>
      </c>
      <c r="D4952" s="8" t="str">
        <f>"9783030917319"</f>
        <v>9783030917319</v>
      </c>
    </row>
    <row r="4953" spans="1:4" x14ac:dyDescent="0.25">
      <c r="A4953" s="7" t="s">
        <v>6856</v>
      </c>
      <c r="B4953" s="8" t="s">
        <v>6857</v>
      </c>
      <c r="C4953" s="8" t="s">
        <v>2273</v>
      </c>
      <c r="D4953" s="8" t="str">
        <f>"9783030694111"</f>
        <v>9783030694111</v>
      </c>
    </row>
    <row r="4954" spans="1:4" ht="30" x14ac:dyDescent="0.25">
      <c r="A4954" s="7" t="s">
        <v>2533</v>
      </c>
      <c r="B4954" s="8" t="s">
        <v>2534</v>
      </c>
      <c r="C4954" s="8" t="s">
        <v>1865</v>
      </c>
      <c r="D4954" s="8" t="str">
        <f>"9789176858776"</f>
        <v>9789176858776</v>
      </c>
    </row>
    <row r="4955" spans="1:4" x14ac:dyDescent="0.25">
      <c r="A4955" s="7" t="s">
        <v>8107</v>
      </c>
      <c r="B4955" s="8" t="s">
        <v>8108</v>
      </c>
      <c r="C4955" s="8" t="s">
        <v>2273</v>
      </c>
      <c r="D4955" s="8" t="str">
        <f>"9783030786274"</f>
        <v>9783030786274</v>
      </c>
    </row>
    <row r="4956" spans="1:4" x14ac:dyDescent="0.25">
      <c r="A4956" s="7" t="s">
        <v>16133</v>
      </c>
      <c r="B4956" s="8" t="s">
        <v>2961</v>
      </c>
      <c r="C4956" s="8" t="s">
        <v>1865</v>
      </c>
      <c r="D4956" s="8" t="str">
        <f>"9789175194691"</f>
        <v>9789175194691</v>
      </c>
    </row>
    <row r="4957" spans="1:4" x14ac:dyDescent="0.25">
      <c r="A4957" s="7" t="s">
        <v>2960</v>
      </c>
      <c r="B4957" s="8" t="s">
        <v>2961</v>
      </c>
      <c r="C4957" s="8" t="s">
        <v>1865</v>
      </c>
      <c r="D4957" s="8" t="str">
        <f>"9789176857564"</f>
        <v>9789176857564</v>
      </c>
    </row>
    <row r="4958" spans="1:4" x14ac:dyDescent="0.25">
      <c r="A4958" s="7" t="s">
        <v>10843</v>
      </c>
      <c r="B4958" s="8" t="s">
        <v>10844</v>
      </c>
      <c r="C4958" s="8" t="s">
        <v>2273</v>
      </c>
      <c r="D4958" s="8" t="str">
        <f>"9783030791117"</f>
        <v>9783030791117</v>
      </c>
    </row>
    <row r="4959" spans="1:4" ht="30" x14ac:dyDescent="0.25">
      <c r="A4959" s="7" t="s">
        <v>1867</v>
      </c>
      <c r="B4959" s="8" t="s">
        <v>1868</v>
      </c>
      <c r="C4959" s="8" t="s">
        <v>1865</v>
      </c>
      <c r="D4959" s="8" t="str">
        <f>"9789175195391"</f>
        <v>9789175195391</v>
      </c>
    </row>
    <row r="4960" spans="1:4" x14ac:dyDescent="0.25">
      <c r="A4960" s="7" t="s">
        <v>8634</v>
      </c>
      <c r="B4960" s="8" t="s">
        <v>8635</v>
      </c>
      <c r="C4960" s="8" t="s">
        <v>1865</v>
      </c>
      <c r="D4960" s="8" t="str">
        <f>"9789179290092"</f>
        <v>9789179290092</v>
      </c>
    </row>
    <row r="4961" spans="1:4" ht="30" x14ac:dyDescent="0.25">
      <c r="A4961" s="7" t="s">
        <v>2299</v>
      </c>
      <c r="B4961" s="8" t="s">
        <v>2300</v>
      </c>
      <c r="C4961" s="8" t="s">
        <v>355</v>
      </c>
      <c r="D4961" s="8" t="str">
        <f>"9783110455403"</f>
        <v>9783110455403</v>
      </c>
    </row>
    <row r="4962" spans="1:4" x14ac:dyDescent="0.25">
      <c r="A4962" s="7" t="s">
        <v>11542</v>
      </c>
      <c r="B4962" s="8" t="s">
        <v>2300</v>
      </c>
      <c r="C4962" s="8" t="s">
        <v>355</v>
      </c>
      <c r="D4962" s="8" t="str">
        <f>"9783110605570"</f>
        <v>9783110605570</v>
      </c>
    </row>
    <row r="4963" spans="1:4" x14ac:dyDescent="0.25">
      <c r="A4963" s="7" t="s">
        <v>5234</v>
      </c>
      <c r="B4963" s="8" t="s">
        <v>5235</v>
      </c>
      <c r="C4963" s="8" t="s">
        <v>1865</v>
      </c>
      <c r="D4963" s="8" t="str">
        <f>"9789179298043"</f>
        <v>9789179298043</v>
      </c>
    </row>
    <row r="4964" spans="1:4" ht="30" x14ac:dyDescent="0.25">
      <c r="A4964" s="7" t="s">
        <v>9216</v>
      </c>
      <c r="B4964" s="8" t="s">
        <v>9217</v>
      </c>
      <c r="C4964" s="8" t="s">
        <v>4882</v>
      </c>
      <c r="D4964" s="8" t="str">
        <f>"9781786949523"</f>
        <v>9781786949523</v>
      </c>
    </row>
    <row r="4965" spans="1:4" x14ac:dyDescent="0.25">
      <c r="A4965" s="7" t="s">
        <v>6761</v>
      </c>
      <c r="B4965" s="8" t="s">
        <v>6762</v>
      </c>
      <c r="C4965" s="8" t="s">
        <v>1879</v>
      </c>
      <c r="D4965" s="8" t="str">
        <f>"9781800641600"</f>
        <v>9781800641600</v>
      </c>
    </row>
    <row r="4966" spans="1:4" x14ac:dyDescent="0.25">
      <c r="A4966" s="7" t="s">
        <v>6799</v>
      </c>
      <c r="B4966" s="8" t="s">
        <v>6800</v>
      </c>
      <c r="C4966" s="8" t="s">
        <v>2273</v>
      </c>
      <c r="D4966" s="8" t="str">
        <f>"9783030565855"</f>
        <v>9783030565855</v>
      </c>
    </row>
    <row r="4967" spans="1:4" x14ac:dyDescent="0.25">
      <c r="A4967" s="7" t="s">
        <v>3959</v>
      </c>
      <c r="B4967" s="8" t="s">
        <v>3960</v>
      </c>
      <c r="C4967" s="8" t="s">
        <v>562</v>
      </c>
      <c r="D4967" s="8" t="str">
        <f>"9780822372011"</f>
        <v>9780822372011</v>
      </c>
    </row>
    <row r="4968" spans="1:4" ht="30" x14ac:dyDescent="0.25">
      <c r="A4968" s="7" t="s">
        <v>632</v>
      </c>
      <c r="B4968" s="8" t="s">
        <v>633</v>
      </c>
      <c r="C4968" s="8" t="s">
        <v>562</v>
      </c>
      <c r="D4968" s="8" t="str">
        <f>"9780822394419"</f>
        <v>9780822394419</v>
      </c>
    </row>
    <row r="4969" spans="1:4" ht="30" x14ac:dyDescent="0.25">
      <c r="A4969" s="7" t="s">
        <v>6801</v>
      </c>
      <c r="B4969" s="8" t="s">
        <v>6802</v>
      </c>
      <c r="C4969" s="8" t="s">
        <v>2273</v>
      </c>
      <c r="D4969" s="8" t="str">
        <f>"9783030672843"</f>
        <v>9783030672843</v>
      </c>
    </row>
    <row r="4970" spans="1:4" x14ac:dyDescent="0.25">
      <c r="A4970" s="7" t="s">
        <v>5985</v>
      </c>
      <c r="B4970" s="8" t="s">
        <v>5986</v>
      </c>
      <c r="C4970" s="8" t="s">
        <v>2273</v>
      </c>
      <c r="D4970" s="8" t="str">
        <f>"9783319130248"</f>
        <v>9783319130248</v>
      </c>
    </row>
    <row r="4971" spans="1:4" ht="30" x14ac:dyDescent="0.25">
      <c r="A4971" s="7" t="s">
        <v>7606</v>
      </c>
      <c r="B4971" s="8" t="s">
        <v>7607</v>
      </c>
      <c r="C4971" s="8" t="s">
        <v>993</v>
      </c>
      <c r="D4971" s="8" t="str">
        <f>"9783839421352"</f>
        <v>9783839421352</v>
      </c>
    </row>
    <row r="4972" spans="1:4" ht="30" x14ac:dyDescent="0.25">
      <c r="A4972" s="7" t="s">
        <v>7470</v>
      </c>
      <c r="B4972" s="8" t="s">
        <v>7471</v>
      </c>
      <c r="C4972" s="8" t="s">
        <v>993</v>
      </c>
      <c r="D4972" s="8" t="str">
        <f>"9783839442517"</f>
        <v>9783839442517</v>
      </c>
    </row>
    <row r="4973" spans="1:4" x14ac:dyDescent="0.25">
      <c r="A4973" s="7" t="s">
        <v>6741</v>
      </c>
      <c r="B4973" s="8" t="s">
        <v>6742</v>
      </c>
      <c r="C4973" s="8" t="s">
        <v>2273</v>
      </c>
      <c r="D4973" s="8" t="str">
        <f>"9783030672812"</f>
        <v>9783030672812</v>
      </c>
    </row>
    <row r="4974" spans="1:4" x14ac:dyDescent="0.25">
      <c r="A4974" s="7" t="s">
        <v>12618</v>
      </c>
      <c r="B4974" s="8" t="s">
        <v>12619</v>
      </c>
      <c r="C4974" s="8" t="s">
        <v>2273</v>
      </c>
      <c r="D4974" s="8" t="str">
        <f>"9783031114663"</f>
        <v>9783031114663</v>
      </c>
    </row>
    <row r="4975" spans="1:4" ht="30" x14ac:dyDescent="0.25">
      <c r="A4975" s="7" t="s">
        <v>6882</v>
      </c>
      <c r="B4975" s="8" t="s">
        <v>6883</v>
      </c>
      <c r="C4975" s="8" t="s">
        <v>2273</v>
      </c>
      <c r="D4975" s="8" t="str">
        <f>"9783030613907"</f>
        <v>9783030613907</v>
      </c>
    </row>
    <row r="4976" spans="1:4" ht="30" x14ac:dyDescent="0.25">
      <c r="A4976" s="7" t="s">
        <v>2188</v>
      </c>
      <c r="B4976" s="8" t="s">
        <v>2189</v>
      </c>
      <c r="C4976" s="8" t="s">
        <v>329</v>
      </c>
      <c r="D4976" s="8" t="str">
        <f>"9789048519071"</f>
        <v>9789048519071</v>
      </c>
    </row>
    <row r="4977" spans="1:4" x14ac:dyDescent="0.25">
      <c r="A4977" s="7" t="s">
        <v>8896</v>
      </c>
      <c r="B4977" s="8" t="s">
        <v>201</v>
      </c>
      <c r="C4977" s="8" t="s">
        <v>2273</v>
      </c>
      <c r="D4977" s="8" t="str">
        <f>"9783030812102"</f>
        <v>9783030812102</v>
      </c>
    </row>
    <row r="4978" spans="1:4" ht="30" x14ac:dyDescent="0.25">
      <c r="A4978" s="7" t="s">
        <v>5426</v>
      </c>
      <c r="B4978" s="8" t="s">
        <v>5273</v>
      </c>
      <c r="C4978" s="8" t="s">
        <v>2273</v>
      </c>
      <c r="D4978" s="8" t="str">
        <f>"9783030512415"</f>
        <v>9783030512415</v>
      </c>
    </row>
    <row r="4979" spans="1:4" ht="30" x14ac:dyDescent="0.25">
      <c r="A4979" s="7" t="s">
        <v>5431</v>
      </c>
      <c r="B4979" s="8" t="s">
        <v>5273</v>
      </c>
      <c r="C4979" s="8" t="s">
        <v>2273</v>
      </c>
      <c r="D4979" s="8" t="str">
        <f>"9783030512453"</f>
        <v>9783030512453</v>
      </c>
    </row>
    <row r="4980" spans="1:4" ht="30" x14ac:dyDescent="0.25">
      <c r="A4980" s="7" t="s">
        <v>5531</v>
      </c>
      <c r="B4980" s="8" t="s">
        <v>5273</v>
      </c>
      <c r="C4980" s="8" t="s">
        <v>2273</v>
      </c>
      <c r="D4980" s="8" t="str">
        <f>"9783030512378"</f>
        <v>9783030512378</v>
      </c>
    </row>
    <row r="4981" spans="1:4" x14ac:dyDescent="0.25">
      <c r="A4981" s="7" t="s">
        <v>10841</v>
      </c>
      <c r="B4981" s="8" t="s">
        <v>10842</v>
      </c>
      <c r="C4981" s="8" t="s">
        <v>2273</v>
      </c>
      <c r="D4981" s="8" t="str">
        <f>"9783030778101"</f>
        <v>9783030778101</v>
      </c>
    </row>
    <row r="4982" spans="1:4" x14ac:dyDescent="0.25">
      <c r="A4982" s="7" t="s">
        <v>13615</v>
      </c>
      <c r="B4982" s="8" t="s">
        <v>13616</v>
      </c>
      <c r="C4982" s="8" t="s">
        <v>2273</v>
      </c>
      <c r="D4982" s="8" t="str">
        <f>"9783031142246"</f>
        <v>9783031142246</v>
      </c>
    </row>
    <row r="4983" spans="1:4" ht="30" x14ac:dyDescent="0.25">
      <c r="A4983" s="7" t="s">
        <v>917</v>
      </c>
      <c r="B4983" s="8" t="s">
        <v>918</v>
      </c>
      <c r="C4983" s="8" t="s">
        <v>329</v>
      </c>
      <c r="D4983" s="8" t="str">
        <f>"9789048523177"</f>
        <v>9789048523177</v>
      </c>
    </row>
    <row r="4984" spans="1:4" x14ac:dyDescent="0.25">
      <c r="A4984" s="7" t="s">
        <v>8303</v>
      </c>
      <c r="B4984" s="8" t="s">
        <v>8304</v>
      </c>
      <c r="C4984" s="8" t="s">
        <v>993</v>
      </c>
      <c r="D4984" s="8" t="str">
        <f>"9783839455647"</f>
        <v>9783839455647</v>
      </c>
    </row>
    <row r="4985" spans="1:4" x14ac:dyDescent="0.25">
      <c r="A4985" s="7" t="s">
        <v>12564</v>
      </c>
      <c r="B4985" s="8" t="s">
        <v>12565</v>
      </c>
      <c r="C4985" s="8" t="s">
        <v>2273</v>
      </c>
      <c r="D4985" s="8" t="str">
        <f>"9783031110610"</f>
        <v>9783031110610</v>
      </c>
    </row>
    <row r="4986" spans="1:4" x14ac:dyDescent="0.25">
      <c r="A4986" s="7" t="s">
        <v>10861</v>
      </c>
      <c r="B4986" s="8" t="s">
        <v>10862</v>
      </c>
      <c r="C4986" s="8" t="s">
        <v>2273</v>
      </c>
      <c r="D4986" s="8" t="str">
        <f>"9783030921149"</f>
        <v>9783030921149</v>
      </c>
    </row>
    <row r="4987" spans="1:4" x14ac:dyDescent="0.25">
      <c r="A4987" s="7" t="s">
        <v>5778</v>
      </c>
      <c r="B4987" s="8" t="s">
        <v>5779</v>
      </c>
      <c r="C4987" s="8" t="s">
        <v>2273</v>
      </c>
      <c r="D4987" s="8" t="str">
        <f>"9783319137193"</f>
        <v>9783319137193</v>
      </c>
    </row>
    <row r="4988" spans="1:4" x14ac:dyDescent="0.25">
      <c r="A4988" s="7" t="s">
        <v>12396</v>
      </c>
      <c r="B4988" s="8" t="s">
        <v>12397</v>
      </c>
      <c r="C4988" s="8" t="s">
        <v>2273</v>
      </c>
      <c r="D4988" s="8" t="str">
        <f>"9783030973223"</f>
        <v>9783030973223</v>
      </c>
    </row>
    <row r="4989" spans="1:4" ht="30" x14ac:dyDescent="0.25">
      <c r="A4989" s="7" t="s">
        <v>12433</v>
      </c>
      <c r="B4989" s="8" t="s">
        <v>12434</v>
      </c>
      <c r="C4989" s="8" t="s">
        <v>2273</v>
      </c>
      <c r="D4989" s="8" t="str">
        <f>"9783031013195"</f>
        <v>9783031013195</v>
      </c>
    </row>
    <row r="4990" spans="1:4" ht="30" x14ac:dyDescent="0.25">
      <c r="A4990" s="7" t="s">
        <v>6739</v>
      </c>
      <c r="B4990" s="8" t="s">
        <v>6740</v>
      </c>
      <c r="C4990" s="8" t="s">
        <v>2273</v>
      </c>
      <c r="D4990" s="8" t="str">
        <f>"9783030676155"</f>
        <v>9783030676155</v>
      </c>
    </row>
    <row r="4991" spans="1:4" x14ac:dyDescent="0.25">
      <c r="A4991" s="7" t="s">
        <v>5047</v>
      </c>
      <c r="B4991" s="8" t="s">
        <v>5048</v>
      </c>
      <c r="C4991" s="8" t="s">
        <v>355</v>
      </c>
      <c r="D4991" s="8" t="str">
        <f>"9783110679366"</f>
        <v>9783110679366</v>
      </c>
    </row>
    <row r="4992" spans="1:4" ht="30" x14ac:dyDescent="0.25">
      <c r="A4992" s="7" t="s">
        <v>10297</v>
      </c>
      <c r="B4992" s="8" t="s">
        <v>10298</v>
      </c>
      <c r="C4992" s="8" t="s">
        <v>993</v>
      </c>
      <c r="D4992" s="8" t="str">
        <f>"9783839448328"</f>
        <v>9783839448328</v>
      </c>
    </row>
    <row r="4993" spans="1:4" ht="30" x14ac:dyDescent="0.25">
      <c r="A4993" s="7" t="s">
        <v>9983</v>
      </c>
      <c r="B4993" s="8" t="s">
        <v>9702</v>
      </c>
      <c r="C4993" s="8" t="s">
        <v>993</v>
      </c>
      <c r="D4993" s="8" t="str">
        <f>"9783839409404"</f>
        <v>9783839409404</v>
      </c>
    </row>
    <row r="4994" spans="1:4" x14ac:dyDescent="0.25">
      <c r="A4994" s="7" t="s">
        <v>14279</v>
      </c>
      <c r="B4994" s="8" t="s">
        <v>14280</v>
      </c>
      <c r="C4994" s="8" t="s">
        <v>2273</v>
      </c>
      <c r="D4994" s="8" t="str">
        <f>"9783031123504"</f>
        <v>9783031123504</v>
      </c>
    </row>
    <row r="4995" spans="1:4" x14ac:dyDescent="0.25">
      <c r="A4995" s="7" t="s">
        <v>5652</v>
      </c>
      <c r="B4995" s="8" t="s">
        <v>5653</v>
      </c>
      <c r="C4995" s="8" t="s">
        <v>5134</v>
      </c>
      <c r="D4995" s="8" t="str">
        <f>"9783642280122"</f>
        <v>9783642280122</v>
      </c>
    </row>
    <row r="4996" spans="1:4" x14ac:dyDescent="0.25">
      <c r="A4996" s="7" t="s">
        <v>6886</v>
      </c>
      <c r="B4996" s="8" t="s">
        <v>6887</v>
      </c>
      <c r="C4996" s="8" t="s">
        <v>2273</v>
      </c>
      <c r="D4996" s="8" t="str">
        <f>"9783030673659"</f>
        <v>9783030673659</v>
      </c>
    </row>
    <row r="4997" spans="1:4" x14ac:dyDescent="0.25">
      <c r="A4997" s="7" t="s">
        <v>10103</v>
      </c>
      <c r="B4997" s="8" t="s">
        <v>10104</v>
      </c>
      <c r="C4997" s="8" t="s">
        <v>993</v>
      </c>
      <c r="D4997" s="8" t="str">
        <f>"9783839434079"</f>
        <v>9783839434079</v>
      </c>
    </row>
    <row r="4998" spans="1:4" x14ac:dyDescent="0.25">
      <c r="A4998" s="7" t="s">
        <v>12314</v>
      </c>
      <c r="B4998" s="8" t="s">
        <v>12315</v>
      </c>
      <c r="C4998" s="8" t="s">
        <v>993</v>
      </c>
      <c r="D4998" s="8" t="str">
        <f>"9783839460948"</f>
        <v>9783839460948</v>
      </c>
    </row>
    <row r="4999" spans="1:4" ht="30" x14ac:dyDescent="0.25">
      <c r="A4999" s="7" t="s">
        <v>10570</v>
      </c>
      <c r="B4999" s="8" t="s">
        <v>10571</v>
      </c>
      <c r="C4999" s="8" t="s">
        <v>993</v>
      </c>
      <c r="D4999" s="8" t="str">
        <f>"9783839460245"</f>
        <v>9783839460245</v>
      </c>
    </row>
    <row r="5000" spans="1:4" x14ac:dyDescent="0.25">
      <c r="A5000" s="7" t="s">
        <v>9798</v>
      </c>
      <c r="B5000" s="8" t="s">
        <v>9799</v>
      </c>
      <c r="C5000" s="8" t="s">
        <v>993</v>
      </c>
      <c r="D5000" s="8" t="str">
        <f>"9783839404959"</f>
        <v>9783839404959</v>
      </c>
    </row>
    <row r="5001" spans="1:4" ht="30" x14ac:dyDescent="0.25">
      <c r="A5001" s="7" t="s">
        <v>12001</v>
      </c>
      <c r="B5001" s="8" t="s">
        <v>12002</v>
      </c>
      <c r="C5001" s="8" t="s">
        <v>355</v>
      </c>
      <c r="D5001" s="8" t="str">
        <f>"9783110745528"</f>
        <v>9783110745528</v>
      </c>
    </row>
    <row r="5002" spans="1:4" x14ac:dyDescent="0.25">
      <c r="A5002" s="7" t="s">
        <v>1619</v>
      </c>
      <c r="B5002" s="8" t="s">
        <v>1620</v>
      </c>
      <c r="C5002" s="8" t="s">
        <v>1345</v>
      </c>
      <c r="D5002" s="8" t="str">
        <f>"9783862191376"</f>
        <v>9783862191376</v>
      </c>
    </row>
    <row r="5003" spans="1:4" x14ac:dyDescent="0.25">
      <c r="A5003" s="7" t="s">
        <v>9690</v>
      </c>
      <c r="B5003" s="8" t="s">
        <v>9691</v>
      </c>
      <c r="C5003" s="8" t="s">
        <v>993</v>
      </c>
      <c r="D5003" s="8" t="str">
        <f>"9783839401682"</f>
        <v>9783839401682</v>
      </c>
    </row>
    <row r="5004" spans="1:4" ht="30" x14ac:dyDescent="0.25">
      <c r="A5004" s="7" t="s">
        <v>1599</v>
      </c>
      <c r="B5004" s="8" t="s">
        <v>1600</v>
      </c>
      <c r="C5004" s="8" t="s">
        <v>1345</v>
      </c>
      <c r="D5004" s="8" t="str">
        <f>"9783862193615"</f>
        <v>9783862193615</v>
      </c>
    </row>
    <row r="5005" spans="1:4" ht="30" x14ac:dyDescent="0.25">
      <c r="A5005" s="7" t="s">
        <v>8555</v>
      </c>
      <c r="B5005" s="8" t="s">
        <v>8556</v>
      </c>
      <c r="C5005" s="8" t="s">
        <v>993</v>
      </c>
      <c r="D5005" s="8" t="str">
        <f>"9783839451977"</f>
        <v>9783839451977</v>
      </c>
    </row>
    <row r="5006" spans="1:4" x14ac:dyDescent="0.25">
      <c r="A5006" s="7" t="s">
        <v>454</v>
      </c>
      <c r="B5006" s="8" t="s">
        <v>455</v>
      </c>
      <c r="C5006" s="8" t="s">
        <v>316</v>
      </c>
      <c r="D5006" s="8" t="str">
        <f>"9783110222845"</f>
        <v>9783110222845</v>
      </c>
    </row>
    <row r="5007" spans="1:4" x14ac:dyDescent="0.25">
      <c r="A5007" s="7" t="s">
        <v>16110</v>
      </c>
      <c r="B5007" s="8" t="s">
        <v>16111</v>
      </c>
      <c r="C5007" s="8" t="s">
        <v>1865</v>
      </c>
      <c r="D5007" s="8" t="str">
        <f>"9789175196688"</f>
        <v>9789175196688</v>
      </c>
    </row>
    <row r="5008" spans="1:4" ht="30" x14ac:dyDescent="0.25">
      <c r="A5008" s="7" t="s">
        <v>14672</v>
      </c>
      <c r="B5008" s="8" t="s">
        <v>14673</v>
      </c>
      <c r="C5008" s="8" t="s">
        <v>1865</v>
      </c>
      <c r="D5008" s="8" t="str">
        <f>"9789179298883"</f>
        <v>9789179298883</v>
      </c>
    </row>
    <row r="5009" spans="1:4" x14ac:dyDescent="0.25">
      <c r="A5009" s="7" t="s">
        <v>8281</v>
      </c>
      <c r="B5009" s="8" t="s">
        <v>8280</v>
      </c>
      <c r="C5009" s="8" t="s">
        <v>993</v>
      </c>
      <c r="D5009" s="8" t="str">
        <f>"9783839456965"</f>
        <v>9783839456965</v>
      </c>
    </row>
    <row r="5010" spans="1:4" ht="30" x14ac:dyDescent="0.25">
      <c r="A5010" s="7" t="s">
        <v>4999</v>
      </c>
      <c r="B5010" s="8" t="s">
        <v>5000</v>
      </c>
      <c r="C5010" s="8" t="s">
        <v>355</v>
      </c>
      <c r="D5010" s="8" t="str">
        <f>"9783110591330"</f>
        <v>9783110591330</v>
      </c>
    </row>
    <row r="5011" spans="1:4" x14ac:dyDescent="0.25">
      <c r="A5011" s="7" t="s">
        <v>942</v>
      </c>
      <c r="B5011" s="8" t="s">
        <v>943</v>
      </c>
      <c r="C5011" s="8" t="s">
        <v>355</v>
      </c>
      <c r="D5011" s="8" t="str">
        <f>"9783110410181"</f>
        <v>9783110410181</v>
      </c>
    </row>
    <row r="5012" spans="1:4" x14ac:dyDescent="0.25">
      <c r="A5012" s="7" t="s">
        <v>12306</v>
      </c>
      <c r="B5012" s="8" t="s">
        <v>12307</v>
      </c>
      <c r="C5012" s="8" t="s">
        <v>993</v>
      </c>
      <c r="D5012" s="8" t="str">
        <f>"9783839460764"</f>
        <v>9783839460764</v>
      </c>
    </row>
    <row r="5013" spans="1:4" x14ac:dyDescent="0.25">
      <c r="A5013" s="7" t="s">
        <v>5488</v>
      </c>
      <c r="B5013" s="8" t="s">
        <v>5489</v>
      </c>
      <c r="C5013" s="8" t="s">
        <v>4245</v>
      </c>
      <c r="D5013" s="8" t="str">
        <f>"9789811556326"</f>
        <v>9789811556326</v>
      </c>
    </row>
    <row r="5014" spans="1:4" x14ac:dyDescent="0.25">
      <c r="A5014" s="7" t="s">
        <v>3006</v>
      </c>
      <c r="B5014" s="8" t="s">
        <v>3007</v>
      </c>
      <c r="C5014" s="8" t="s">
        <v>355</v>
      </c>
      <c r="D5014" s="8" t="str">
        <f>"9783110464337"</f>
        <v>9783110464337</v>
      </c>
    </row>
    <row r="5015" spans="1:4" ht="30" x14ac:dyDescent="0.25">
      <c r="A5015" s="7" t="s">
        <v>14612</v>
      </c>
      <c r="B5015" s="8" t="s">
        <v>14613</v>
      </c>
      <c r="C5015" s="8" t="s">
        <v>1865</v>
      </c>
      <c r="D5015" s="8" t="str">
        <f>"9789179296193"</f>
        <v>9789179296193</v>
      </c>
    </row>
    <row r="5016" spans="1:4" x14ac:dyDescent="0.25">
      <c r="A5016" s="7" t="s">
        <v>14148</v>
      </c>
      <c r="B5016" s="8" t="s">
        <v>14149</v>
      </c>
      <c r="C5016" s="8" t="s">
        <v>2273</v>
      </c>
      <c r="D5016" s="8" t="str">
        <f>"9783031214486"</f>
        <v>9783031214486</v>
      </c>
    </row>
    <row r="5017" spans="1:4" x14ac:dyDescent="0.25">
      <c r="A5017" s="7" t="s">
        <v>15979</v>
      </c>
      <c r="B5017" s="8" t="s">
        <v>15980</v>
      </c>
      <c r="C5017" s="8" t="s">
        <v>1865</v>
      </c>
      <c r="D5017" s="8" t="str">
        <f>"9789175196602"</f>
        <v>9789175196602</v>
      </c>
    </row>
    <row r="5018" spans="1:4" x14ac:dyDescent="0.25">
      <c r="A5018" s="7" t="s">
        <v>8407</v>
      </c>
      <c r="B5018" s="8" t="s">
        <v>8408</v>
      </c>
      <c r="C5018" s="8" t="s">
        <v>993</v>
      </c>
      <c r="D5018" s="8" t="str">
        <f>"9783839439234"</f>
        <v>9783839439234</v>
      </c>
    </row>
    <row r="5019" spans="1:4" x14ac:dyDescent="0.25">
      <c r="A5019" s="7" t="s">
        <v>12269</v>
      </c>
      <c r="B5019" s="8" t="s">
        <v>12270</v>
      </c>
      <c r="C5019" s="8" t="s">
        <v>993</v>
      </c>
      <c r="D5019" s="8" t="str">
        <f>"9783839457016"</f>
        <v>9783839457016</v>
      </c>
    </row>
    <row r="5020" spans="1:4" x14ac:dyDescent="0.25">
      <c r="A5020" s="7" t="s">
        <v>14104</v>
      </c>
      <c r="B5020" s="8" t="s">
        <v>14105</v>
      </c>
      <c r="C5020" s="8" t="s">
        <v>993</v>
      </c>
      <c r="D5020" s="8" t="str">
        <f>"9783839465905"</f>
        <v>9783839465905</v>
      </c>
    </row>
    <row r="5021" spans="1:4" ht="30" x14ac:dyDescent="0.25">
      <c r="A5021" s="7" t="s">
        <v>10583</v>
      </c>
      <c r="B5021" s="8" t="s">
        <v>10584</v>
      </c>
      <c r="C5021" s="8" t="s">
        <v>993</v>
      </c>
      <c r="D5021" s="8" t="str">
        <f>"9783839460719"</f>
        <v>9783839460719</v>
      </c>
    </row>
    <row r="5022" spans="1:4" ht="30" x14ac:dyDescent="0.25">
      <c r="A5022" s="7" t="s">
        <v>7310</v>
      </c>
      <c r="B5022" s="8" t="s">
        <v>7311</v>
      </c>
      <c r="C5022" s="8" t="s">
        <v>993</v>
      </c>
      <c r="D5022" s="8" t="str">
        <f>"9783839453582"</f>
        <v>9783839453582</v>
      </c>
    </row>
    <row r="5023" spans="1:4" x14ac:dyDescent="0.25">
      <c r="A5023" s="7" t="s">
        <v>10267</v>
      </c>
      <c r="B5023" s="8" t="s">
        <v>10268</v>
      </c>
      <c r="C5023" s="8" t="s">
        <v>993</v>
      </c>
      <c r="D5023" s="8" t="str">
        <f>"9783839446850"</f>
        <v>9783839446850</v>
      </c>
    </row>
    <row r="5024" spans="1:4" x14ac:dyDescent="0.25">
      <c r="A5024" s="7" t="s">
        <v>7675</v>
      </c>
      <c r="B5024" s="8" t="s">
        <v>7676</v>
      </c>
      <c r="C5024" s="8" t="s">
        <v>993</v>
      </c>
      <c r="D5024" s="8" t="str">
        <f>"9783839427286"</f>
        <v>9783839427286</v>
      </c>
    </row>
    <row r="5025" spans="1:4" x14ac:dyDescent="0.25">
      <c r="A5025" s="7" t="s">
        <v>11493</v>
      </c>
      <c r="B5025" s="8" t="s">
        <v>11399</v>
      </c>
      <c r="C5025" s="8" t="s">
        <v>355</v>
      </c>
      <c r="D5025" s="8" t="str">
        <f>"9783111683898"</f>
        <v>9783111683898</v>
      </c>
    </row>
    <row r="5026" spans="1:4" x14ac:dyDescent="0.25">
      <c r="A5026" s="7" t="s">
        <v>9386</v>
      </c>
      <c r="B5026" s="8" t="s">
        <v>9387</v>
      </c>
      <c r="C5026" s="8" t="s">
        <v>9256</v>
      </c>
      <c r="D5026" s="8" t="str">
        <f>"9788021097049"</f>
        <v>9788021097049</v>
      </c>
    </row>
    <row r="5027" spans="1:4" x14ac:dyDescent="0.25">
      <c r="A5027" s="7" t="s">
        <v>6493</v>
      </c>
      <c r="B5027" s="8" t="s">
        <v>6494</v>
      </c>
      <c r="C5027" s="8" t="s">
        <v>2273</v>
      </c>
      <c r="D5027" s="8" t="str">
        <f>"9783030576691"</f>
        <v>9783030576691</v>
      </c>
    </row>
    <row r="5028" spans="1:4" x14ac:dyDescent="0.25">
      <c r="A5028" s="7" t="s">
        <v>1310</v>
      </c>
      <c r="B5028" s="8" t="s">
        <v>1311</v>
      </c>
      <c r="C5028" s="8" t="s">
        <v>1224</v>
      </c>
      <c r="D5028" s="8" t="str">
        <f>"9781618110695"</f>
        <v>9781618110695</v>
      </c>
    </row>
    <row r="5029" spans="1:4" x14ac:dyDescent="0.25">
      <c r="A5029" s="7" t="s">
        <v>8057</v>
      </c>
      <c r="B5029" s="8" t="s">
        <v>8058</v>
      </c>
      <c r="C5029" s="8" t="s">
        <v>2273</v>
      </c>
      <c r="D5029" s="8" t="str">
        <f>"9783030839444"</f>
        <v>9783030839444</v>
      </c>
    </row>
    <row r="5030" spans="1:4" ht="30" x14ac:dyDescent="0.25">
      <c r="A5030" s="7" t="s">
        <v>10665</v>
      </c>
      <c r="B5030" s="8" t="s">
        <v>10666</v>
      </c>
      <c r="C5030" s="8" t="s">
        <v>2273</v>
      </c>
      <c r="D5030" s="8" t="str">
        <f>"9783030984670"</f>
        <v>9783030984670</v>
      </c>
    </row>
    <row r="5031" spans="1:4" x14ac:dyDescent="0.25">
      <c r="A5031" s="7" t="s">
        <v>4863</v>
      </c>
      <c r="B5031" s="8" t="s">
        <v>4864</v>
      </c>
      <c r="C5031" s="8" t="s">
        <v>329</v>
      </c>
      <c r="D5031" s="8" t="str">
        <f>"9789048535217"</f>
        <v>9789048535217</v>
      </c>
    </row>
    <row r="5032" spans="1:4" x14ac:dyDescent="0.25">
      <c r="A5032" s="7" t="s">
        <v>15481</v>
      </c>
      <c r="B5032" s="8" t="s">
        <v>15482</v>
      </c>
      <c r="C5032" s="8" t="s">
        <v>1865</v>
      </c>
      <c r="D5032" s="8" t="str">
        <f>"9789175197265"</f>
        <v>9789175197265</v>
      </c>
    </row>
    <row r="5033" spans="1:4" x14ac:dyDescent="0.25">
      <c r="A5033" s="7" t="s">
        <v>2410</v>
      </c>
      <c r="B5033" s="8" t="s">
        <v>2411</v>
      </c>
      <c r="C5033" s="8" t="s">
        <v>1865</v>
      </c>
      <c r="D5033" s="8" t="str">
        <f>"9789176859711"</f>
        <v>9789176859711</v>
      </c>
    </row>
    <row r="5034" spans="1:4" x14ac:dyDescent="0.25">
      <c r="A5034" s="7" t="s">
        <v>513</v>
      </c>
      <c r="B5034" s="8" t="s">
        <v>502</v>
      </c>
      <c r="C5034" s="8" t="s">
        <v>316</v>
      </c>
      <c r="D5034" s="8" t="str">
        <f>"9783110258912"</f>
        <v>9783110258912</v>
      </c>
    </row>
    <row r="5035" spans="1:4" x14ac:dyDescent="0.25">
      <c r="A5035" s="7" t="s">
        <v>8662</v>
      </c>
      <c r="B5035" s="8" t="s">
        <v>5614</v>
      </c>
      <c r="C5035" s="8" t="s">
        <v>5134</v>
      </c>
      <c r="D5035" s="8" t="str">
        <f>"9783662636350"</f>
        <v>9783662636350</v>
      </c>
    </row>
    <row r="5036" spans="1:4" x14ac:dyDescent="0.25">
      <c r="A5036" s="7" t="s">
        <v>5788</v>
      </c>
      <c r="B5036" s="8" t="s">
        <v>5789</v>
      </c>
      <c r="C5036" s="8" t="s">
        <v>2273</v>
      </c>
      <c r="D5036" s="8" t="str">
        <f>"9783319446547"</f>
        <v>9783319446547</v>
      </c>
    </row>
    <row r="5037" spans="1:4" ht="30" x14ac:dyDescent="0.25">
      <c r="A5037" s="7" t="s">
        <v>3674</v>
      </c>
      <c r="B5037" s="8" t="s">
        <v>3675</v>
      </c>
      <c r="C5037" s="8" t="s">
        <v>1879</v>
      </c>
      <c r="D5037" s="8" t="str">
        <f>"9781783743353"</f>
        <v>9781783743353</v>
      </c>
    </row>
    <row r="5038" spans="1:4" x14ac:dyDescent="0.25">
      <c r="A5038" s="7" t="s">
        <v>2302</v>
      </c>
      <c r="B5038" s="8" t="s">
        <v>2303</v>
      </c>
      <c r="C5038" s="8" t="s">
        <v>355</v>
      </c>
      <c r="D5038" s="8" t="str">
        <f>"9783110415162"</f>
        <v>9783110415162</v>
      </c>
    </row>
    <row r="5039" spans="1:4" x14ac:dyDescent="0.25">
      <c r="A5039" s="7" t="s">
        <v>14747</v>
      </c>
      <c r="B5039" s="8" t="s">
        <v>14748</v>
      </c>
      <c r="C5039" s="8" t="s">
        <v>11382</v>
      </c>
      <c r="D5039" s="8" t="str">
        <f>"9783868599732"</f>
        <v>9783868599732</v>
      </c>
    </row>
    <row r="5040" spans="1:4" ht="30" x14ac:dyDescent="0.25">
      <c r="A5040" s="7" t="s">
        <v>15685</v>
      </c>
      <c r="B5040" s="8" t="s">
        <v>15686</v>
      </c>
      <c r="C5040" s="8" t="s">
        <v>1865</v>
      </c>
      <c r="D5040" s="8" t="str">
        <f>"9789173939263"</f>
        <v>9789173939263</v>
      </c>
    </row>
    <row r="5041" spans="1:4" ht="30" x14ac:dyDescent="0.25">
      <c r="A5041" s="7" t="s">
        <v>2398</v>
      </c>
      <c r="B5041" s="8" t="s">
        <v>2399</v>
      </c>
      <c r="C5041" s="8" t="s">
        <v>329</v>
      </c>
      <c r="D5041" s="8" t="str">
        <f>"9789048527144"</f>
        <v>9789048527144</v>
      </c>
    </row>
    <row r="5042" spans="1:4" ht="30" x14ac:dyDescent="0.25">
      <c r="A5042" s="7" t="s">
        <v>14486</v>
      </c>
      <c r="B5042" s="8" t="s">
        <v>14487</v>
      </c>
      <c r="C5042" s="8" t="s">
        <v>1865</v>
      </c>
      <c r="D5042" s="8" t="str">
        <f>"9789179293604"</f>
        <v>9789179293604</v>
      </c>
    </row>
    <row r="5043" spans="1:4" x14ac:dyDescent="0.25">
      <c r="A5043" s="7" t="s">
        <v>12536</v>
      </c>
      <c r="B5043" s="8" t="s">
        <v>12537</v>
      </c>
      <c r="C5043" s="8" t="s">
        <v>2273</v>
      </c>
      <c r="D5043" s="8" t="str">
        <f>"9783030978334"</f>
        <v>9783030978334</v>
      </c>
    </row>
    <row r="5044" spans="1:4" x14ac:dyDescent="0.25">
      <c r="A5044" s="7" t="s">
        <v>15311</v>
      </c>
      <c r="B5044" s="8" t="s">
        <v>15312</v>
      </c>
      <c r="C5044" s="8" t="s">
        <v>1865</v>
      </c>
      <c r="D5044" s="8" t="str">
        <f>"9789175193564"</f>
        <v>9789175193564</v>
      </c>
    </row>
    <row r="5045" spans="1:4" x14ac:dyDescent="0.25">
      <c r="A5045" s="7" t="s">
        <v>3038</v>
      </c>
      <c r="B5045" s="8" t="s">
        <v>3039</v>
      </c>
      <c r="C5045" s="8" t="s">
        <v>1345</v>
      </c>
      <c r="D5045" s="8" t="str">
        <f>"9783737601634"</f>
        <v>9783737601634</v>
      </c>
    </row>
    <row r="5046" spans="1:4" x14ac:dyDescent="0.25">
      <c r="A5046" s="7" t="s">
        <v>15251</v>
      </c>
      <c r="B5046" s="8" t="s">
        <v>3284</v>
      </c>
      <c r="C5046" s="8" t="s">
        <v>1865</v>
      </c>
      <c r="D5046" s="8" t="str">
        <f>"9789175194226"</f>
        <v>9789175194226</v>
      </c>
    </row>
    <row r="5047" spans="1:4" x14ac:dyDescent="0.25">
      <c r="A5047" s="7" t="s">
        <v>6238</v>
      </c>
      <c r="B5047" s="8" t="s">
        <v>6239</v>
      </c>
      <c r="C5047" s="8" t="s">
        <v>2273</v>
      </c>
      <c r="D5047" s="8" t="str">
        <f>"9783319654331"</f>
        <v>9783319654331</v>
      </c>
    </row>
    <row r="5048" spans="1:4" ht="30" x14ac:dyDescent="0.25">
      <c r="A5048" s="7" t="s">
        <v>6315</v>
      </c>
      <c r="B5048" s="8" t="s">
        <v>6316</v>
      </c>
      <c r="C5048" s="8" t="s">
        <v>2273</v>
      </c>
      <c r="D5048" s="8" t="str">
        <f>"9783030621360"</f>
        <v>9783030621360</v>
      </c>
    </row>
    <row r="5049" spans="1:4" ht="30" x14ac:dyDescent="0.25">
      <c r="A5049" s="7" t="s">
        <v>3318</v>
      </c>
      <c r="B5049" s="8" t="s">
        <v>3319</v>
      </c>
      <c r="C5049" s="8" t="s">
        <v>1865</v>
      </c>
      <c r="D5049" s="8" t="str">
        <f>"9789176854570"</f>
        <v>9789176854570</v>
      </c>
    </row>
    <row r="5050" spans="1:4" ht="30" x14ac:dyDescent="0.25">
      <c r="A5050" s="7" t="s">
        <v>15639</v>
      </c>
      <c r="B5050" s="8" t="s">
        <v>15640</v>
      </c>
      <c r="C5050" s="8" t="s">
        <v>1865</v>
      </c>
      <c r="D5050" s="8" t="str">
        <f>"9789176858011"</f>
        <v>9789176858011</v>
      </c>
    </row>
    <row r="5051" spans="1:4" ht="30" x14ac:dyDescent="0.25">
      <c r="A5051" s="7" t="s">
        <v>14912</v>
      </c>
      <c r="B5051" s="8" t="s">
        <v>14913</v>
      </c>
      <c r="C5051" s="8" t="s">
        <v>1865</v>
      </c>
      <c r="D5051" s="8" t="str">
        <f>"9789175195056"</f>
        <v>9789175195056</v>
      </c>
    </row>
    <row r="5052" spans="1:4" ht="30" x14ac:dyDescent="0.25">
      <c r="A5052" s="7" t="s">
        <v>5730</v>
      </c>
      <c r="B5052" s="8" t="s">
        <v>5731</v>
      </c>
      <c r="C5052" s="8" t="s">
        <v>2273</v>
      </c>
      <c r="D5052" s="8" t="str">
        <f>"9783319460314"</f>
        <v>9783319460314</v>
      </c>
    </row>
    <row r="5053" spans="1:4" ht="30" x14ac:dyDescent="0.25">
      <c r="A5053" s="7" t="s">
        <v>1828</v>
      </c>
      <c r="B5053" s="8" t="s">
        <v>1829</v>
      </c>
      <c r="C5053" s="8" t="s">
        <v>1345</v>
      </c>
      <c r="D5053" s="8" t="str">
        <f>"9783862197750"</f>
        <v>9783862197750</v>
      </c>
    </row>
    <row r="5054" spans="1:4" x14ac:dyDescent="0.25">
      <c r="A5054" s="7" t="s">
        <v>8998</v>
      </c>
      <c r="B5054" s="8" t="s">
        <v>8999</v>
      </c>
      <c r="C5054" s="8" t="s">
        <v>1865</v>
      </c>
      <c r="D5054" s="8" t="str">
        <f>"9789179291914"</f>
        <v>9789179291914</v>
      </c>
    </row>
    <row r="5055" spans="1:4" x14ac:dyDescent="0.25">
      <c r="A5055" s="7" t="s">
        <v>3529</v>
      </c>
      <c r="B5055" s="8" t="s">
        <v>3530</v>
      </c>
      <c r="C5055" s="8" t="s">
        <v>1865</v>
      </c>
      <c r="D5055" s="8" t="str">
        <f>"9789176853689"</f>
        <v>9789176853689</v>
      </c>
    </row>
    <row r="5056" spans="1:4" x14ac:dyDescent="0.25">
      <c r="A5056" s="7" t="s">
        <v>16255</v>
      </c>
      <c r="B5056" s="8" t="s">
        <v>16256</v>
      </c>
      <c r="C5056" s="8" t="s">
        <v>1865</v>
      </c>
      <c r="D5056" s="8" t="str">
        <f>"9789175195230"</f>
        <v>9789175195230</v>
      </c>
    </row>
    <row r="5057" spans="1:4" x14ac:dyDescent="0.25">
      <c r="A5057" s="7" t="s">
        <v>8920</v>
      </c>
      <c r="B5057" s="8" t="s">
        <v>8921</v>
      </c>
      <c r="C5057" s="8" t="s">
        <v>1865</v>
      </c>
      <c r="D5057" s="8" t="str">
        <f>"9789179291457"</f>
        <v>9789179291457</v>
      </c>
    </row>
    <row r="5058" spans="1:4" ht="30" x14ac:dyDescent="0.25">
      <c r="A5058" s="7" t="s">
        <v>6864</v>
      </c>
      <c r="B5058" s="8" t="s">
        <v>6865</v>
      </c>
      <c r="C5058" s="8" t="s">
        <v>1865</v>
      </c>
      <c r="D5058" s="8" t="str">
        <f>"9789179296445"</f>
        <v>9789179296445</v>
      </c>
    </row>
    <row r="5059" spans="1:4" x14ac:dyDescent="0.25">
      <c r="A5059" s="7" t="s">
        <v>15781</v>
      </c>
      <c r="B5059" s="8" t="s">
        <v>15782</v>
      </c>
      <c r="C5059" s="8" t="s">
        <v>1865</v>
      </c>
      <c r="D5059" s="8" t="str">
        <f>"9789176857489"</f>
        <v>9789176857489</v>
      </c>
    </row>
    <row r="5060" spans="1:4" x14ac:dyDescent="0.25">
      <c r="A5060" s="7" t="s">
        <v>16117</v>
      </c>
      <c r="B5060" s="8" t="s">
        <v>16118</v>
      </c>
      <c r="C5060" s="8" t="s">
        <v>1865</v>
      </c>
      <c r="D5060" s="8" t="str">
        <f>"9789175195612"</f>
        <v>9789175195612</v>
      </c>
    </row>
    <row r="5061" spans="1:4" x14ac:dyDescent="0.25">
      <c r="A5061" s="7" t="s">
        <v>15090</v>
      </c>
      <c r="B5061" s="8" t="s">
        <v>15091</v>
      </c>
      <c r="C5061" s="8" t="s">
        <v>1865</v>
      </c>
      <c r="D5061" s="8" t="str">
        <f>"9789175198057"</f>
        <v>9789175198057</v>
      </c>
    </row>
    <row r="5062" spans="1:4" x14ac:dyDescent="0.25">
      <c r="A5062" s="7" t="s">
        <v>452</v>
      </c>
      <c r="B5062" s="8" t="s">
        <v>453</v>
      </c>
      <c r="C5062" s="8" t="s">
        <v>309</v>
      </c>
      <c r="D5062" s="8" t="str">
        <f>"9781439903193"</f>
        <v>9781439903193</v>
      </c>
    </row>
    <row r="5063" spans="1:4" x14ac:dyDescent="0.25">
      <c r="A5063" s="7" t="s">
        <v>5427</v>
      </c>
      <c r="B5063" s="8" t="s">
        <v>5428</v>
      </c>
      <c r="C5063" s="8" t="s">
        <v>2273</v>
      </c>
      <c r="D5063" s="8" t="str">
        <f>"9783030611576"</f>
        <v>9783030611576</v>
      </c>
    </row>
    <row r="5064" spans="1:4" x14ac:dyDescent="0.25">
      <c r="A5064" s="7" t="s">
        <v>16391</v>
      </c>
      <c r="B5064" s="8" t="s">
        <v>16392</v>
      </c>
      <c r="C5064" s="8" t="s">
        <v>1865</v>
      </c>
      <c r="D5064" s="8" t="str">
        <f>"9789175196268"</f>
        <v>9789175196268</v>
      </c>
    </row>
    <row r="5065" spans="1:4" x14ac:dyDescent="0.25">
      <c r="A5065" s="7" t="s">
        <v>2474</v>
      </c>
      <c r="B5065" s="8" t="s">
        <v>2475</v>
      </c>
      <c r="C5065" s="8" t="s">
        <v>1865</v>
      </c>
      <c r="D5065" s="8" t="str">
        <f>"9789176859032"</f>
        <v>9789176859032</v>
      </c>
    </row>
    <row r="5066" spans="1:4" ht="30" x14ac:dyDescent="0.25">
      <c r="A5066" s="7" t="s">
        <v>1453</v>
      </c>
      <c r="B5066" s="8" t="s">
        <v>1454</v>
      </c>
      <c r="C5066" s="8" t="s">
        <v>1345</v>
      </c>
      <c r="D5066" s="8" t="str">
        <f>"9783899589658"</f>
        <v>9783899589658</v>
      </c>
    </row>
    <row r="5067" spans="1:4" x14ac:dyDescent="0.25">
      <c r="A5067" s="7" t="s">
        <v>15224</v>
      </c>
      <c r="B5067" s="8" t="s">
        <v>15225</v>
      </c>
      <c r="C5067" s="8" t="s">
        <v>1865</v>
      </c>
      <c r="D5067" s="8" t="str">
        <f>"9789175198828"</f>
        <v>9789175198828</v>
      </c>
    </row>
    <row r="5068" spans="1:4" x14ac:dyDescent="0.25">
      <c r="A5068" s="7" t="s">
        <v>1499</v>
      </c>
      <c r="B5068" s="8" t="s">
        <v>1500</v>
      </c>
      <c r="C5068" s="8" t="s">
        <v>1345</v>
      </c>
      <c r="D5068" s="8" t="str">
        <f>"9783862193912"</f>
        <v>9783862193912</v>
      </c>
    </row>
    <row r="5069" spans="1:4" x14ac:dyDescent="0.25">
      <c r="A5069" s="7" t="s">
        <v>1791</v>
      </c>
      <c r="B5069" s="8" t="s">
        <v>1792</v>
      </c>
      <c r="C5069" s="8" t="s">
        <v>1345</v>
      </c>
      <c r="D5069" s="8" t="str">
        <f>"9783862197538"</f>
        <v>9783862197538</v>
      </c>
    </row>
    <row r="5070" spans="1:4" x14ac:dyDescent="0.25">
      <c r="A5070" s="7" t="s">
        <v>3390</v>
      </c>
      <c r="B5070" s="8" t="s">
        <v>3391</v>
      </c>
      <c r="C5070" s="8" t="s">
        <v>1345</v>
      </c>
      <c r="D5070" s="8" t="str">
        <f>"9783737603836"</f>
        <v>9783737603836</v>
      </c>
    </row>
    <row r="5071" spans="1:4" ht="30" x14ac:dyDescent="0.25">
      <c r="A5071" s="7" t="s">
        <v>1386</v>
      </c>
      <c r="B5071" s="8" t="s">
        <v>1387</v>
      </c>
      <c r="C5071" s="8" t="s">
        <v>1345</v>
      </c>
      <c r="D5071" s="8" t="str">
        <f>"9783899588637"</f>
        <v>9783899588637</v>
      </c>
    </row>
    <row r="5072" spans="1:4" x14ac:dyDescent="0.25">
      <c r="A5072" s="7" t="s">
        <v>14827</v>
      </c>
      <c r="B5072" s="8" t="s">
        <v>14813</v>
      </c>
      <c r="C5072" s="8" t="s">
        <v>1865</v>
      </c>
      <c r="D5072" s="8" t="str">
        <f>"9789176856192"</f>
        <v>9789176856192</v>
      </c>
    </row>
    <row r="5073" spans="1:4" ht="30" x14ac:dyDescent="0.25">
      <c r="A5073" s="7" t="s">
        <v>15731</v>
      </c>
      <c r="B5073" s="8" t="s">
        <v>15732</v>
      </c>
      <c r="C5073" s="8" t="s">
        <v>1865</v>
      </c>
      <c r="D5073" s="8" t="str">
        <f>"9789179295486"</f>
        <v>9789179295486</v>
      </c>
    </row>
    <row r="5074" spans="1:4" x14ac:dyDescent="0.25">
      <c r="A5074" s="7" t="s">
        <v>4641</v>
      </c>
      <c r="B5074" s="8" t="s">
        <v>4642</v>
      </c>
      <c r="C5074" s="8" t="s">
        <v>1865</v>
      </c>
      <c r="D5074" s="8" t="str">
        <f>"9789179299835"</f>
        <v>9789179299835</v>
      </c>
    </row>
    <row r="5075" spans="1:4" x14ac:dyDescent="0.25">
      <c r="A5075" s="7" t="s">
        <v>14713</v>
      </c>
      <c r="B5075" s="8" t="s">
        <v>14714</v>
      </c>
      <c r="C5075" s="8" t="s">
        <v>1865</v>
      </c>
      <c r="D5075" s="8" t="str">
        <f>"9789175198965"</f>
        <v>9789175198965</v>
      </c>
    </row>
    <row r="5076" spans="1:4" x14ac:dyDescent="0.25">
      <c r="A5076" s="7" t="s">
        <v>15902</v>
      </c>
      <c r="B5076" s="8" t="s">
        <v>15903</v>
      </c>
      <c r="C5076" s="8" t="s">
        <v>1865</v>
      </c>
      <c r="D5076" s="8" t="str">
        <f>"9789175194035"</f>
        <v>9789175194035</v>
      </c>
    </row>
    <row r="5077" spans="1:4" ht="30" x14ac:dyDescent="0.25">
      <c r="A5077" s="7" t="s">
        <v>14660</v>
      </c>
      <c r="B5077" s="8" t="s">
        <v>14661</v>
      </c>
      <c r="C5077" s="8" t="s">
        <v>1865</v>
      </c>
      <c r="D5077" s="8" t="str">
        <f>"9789179297923"</f>
        <v>9789179297923</v>
      </c>
    </row>
    <row r="5078" spans="1:4" x14ac:dyDescent="0.25">
      <c r="A5078" s="7" t="s">
        <v>15519</v>
      </c>
      <c r="B5078" s="8" t="s">
        <v>15520</v>
      </c>
      <c r="C5078" s="8" t="s">
        <v>1865</v>
      </c>
      <c r="D5078" s="8" t="str">
        <f>"9789176854730"</f>
        <v>9789176854730</v>
      </c>
    </row>
    <row r="5079" spans="1:4" ht="30" x14ac:dyDescent="0.25">
      <c r="A5079" s="7" t="s">
        <v>15843</v>
      </c>
      <c r="B5079" s="8" t="s">
        <v>15844</v>
      </c>
      <c r="C5079" s="8" t="s">
        <v>1865</v>
      </c>
      <c r="D5079" s="8" t="str">
        <f>"9789179295707"</f>
        <v>9789179295707</v>
      </c>
    </row>
    <row r="5080" spans="1:4" x14ac:dyDescent="0.25">
      <c r="A5080" s="7" t="s">
        <v>16324</v>
      </c>
      <c r="B5080" s="8" t="s">
        <v>16118</v>
      </c>
      <c r="C5080" s="8" t="s">
        <v>1865</v>
      </c>
      <c r="D5080" s="8" t="str">
        <f>"9789176857717"</f>
        <v>9789176857717</v>
      </c>
    </row>
    <row r="5081" spans="1:4" x14ac:dyDescent="0.25">
      <c r="A5081" s="7" t="s">
        <v>15929</v>
      </c>
      <c r="B5081" s="8" t="s">
        <v>15930</v>
      </c>
      <c r="C5081" s="8" t="s">
        <v>1865</v>
      </c>
      <c r="D5081" s="8" t="str">
        <f>"9789175198910"</f>
        <v>9789175198910</v>
      </c>
    </row>
    <row r="5082" spans="1:4" ht="30" x14ac:dyDescent="0.25">
      <c r="A5082" s="7" t="s">
        <v>4058</v>
      </c>
      <c r="B5082" s="8" t="s">
        <v>4059</v>
      </c>
      <c r="C5082" s="8" t="s">
        <v>1865</v>
      </c>
      <c r="D5082" s="8" t="str">
        <f>"9789176852613"</f>
        <v>9789176852613</v>
      </c>
    </row>
    <row r="5083" spans="1:4" x14ac:dyDescent="0.25">
      <c r="A5083" s="7" t="s">
        <v>8996</v>
      </c>
      <c r="B5083" s="8" t="s">
        <v>8997</v>
      </c>
      <c r="C5083" s="8" t="s">
        <v>1865</v>
      </c>
      <c r="D5083" s="8" t="str">
        <f>"9789179291846"</f>
        <v>9789179291846</v>
      </c>
    </row>
    <row r="5084" spans="1:4" ht="30" x14ac:dyDescent="0.25">
      <c r="A5084" s="7" t="s">
        <v>14649</v>
      </c>
      <c r="B5084" s="8" t="s">
        <v>14641</v>
      </c>
      <c r="C5084" s="8" t="s">
        <v>1865</v>
      </c>
      <c r="D5084" s="8" t="str">
        <f>"9789179294366"</f>
        <v>9789179294366</v>
      </c>
    </row>
    <row r="5085" spans="1:4" x14ac:dyDescent="0.25">
      <c r="A5085" s="7" t="s">
        <v>4908</v>
      </c>
      <c r="B5085" s="8" t="s">
        <v>4909</v>
      </c>
      <c r="C5085" s="8" t="s">
        <v>1879</v>
      </c>
      <c r="D5085" s="8" t="str">
        <f>"9781783749225"</f>
        <v>9781783749225</v>
      </c>
    </row>
    <row r="5086" spans="1:4" x14ac:dyDescent="0.25">
      <c r="A5086" s="7" t="s">
        <v>4910</v>
      </c>
      <c r="B5086" s="8" t="s">
        <v>4909</v>
      </c>
      <c r="C5086" s="8" t="s">
        <v>1879</v>
      </c>
      <c r="D5086" s="8" t="str">
        <f>"9781783748945"</f>
        <v>9781783748945</v>
      </c>
    </row>
    <row r="5087" spans="1:4" ht="30" x14ac:dyDescent="0.25">
      <c r="A5087" s="7" t="s">
        <v>3927</v>
      </c>
      <c r="B5087" s="8" t="s">
        <v>3928</v>
      </c>
      <c r="C5087" s="8" t="s">
        <v>355</v>
      </c>
      <c r="D5087" s="8" t="str">
        <f>"9783110556643"</f>
        <v>9783110556643</v>
      </c>
    </row>
    <row r="5088" spans="1:4" x14ac:dyDescent="0.25">
      <c r="A5088" s="7" t="s">
        <v>7643</v>
      </c>
      <c r="B5088" s="8" t="s">
        <v>7644</v>
      </c>
      <c r="C5088" s="8" t="s">
        <v>993</v>
      </c>
      <c r="D5088" s="8" t="str">
        <f>"9783839421611"</f>
        <v>9783839421611</v>
      </c>
    </row>
    <row r="5089" spans="1:4" ht="30" x14ac:dyDescent="0.25">
      <c r="A5089" s="7" t="s">
        <v>9652</v>
      </c>
      <c r="B5089" s="8" t="s">
        <v>9653</v>
      </c>
      <c r="C5089" s="8" t="s">
        <v>2274</v>
      </c>
      <c r="D5089" s="8" t="str">
        <f>"9789811909207"</f>
        <v>9789811909207</v>
      </c>
    </row>
    <row r="5090" spans="1:4" ht="30" x14ac:dyDescent="0.25">
      <c r="A5090" s="7" t="s">
        <v>13746</v>
      </c>
      <c r="B5090" s="8" t="s">
        <v>9653</v>
      </c>
      <c r="C5090" s="8" t="s">
        <v>2274</v>
      </c>
      <c r="D5090" s="8" t="str">
        <f>"9789811976445"</f>
        <v>9789811976445</v>
      </c>
    </row>
    <row r="5091" spans="1:4" x14ac:dyDescent="0.25">
      <c r="A5091" s="7" t="s">
        <v>7870</v>
      </c>
      <c r="B5091" s="8" t="s">
        <v>7871</v>
      </c>
      <c r="C5091" s="8" t="s">
        <v>2273</v>
      </c>
      <c r="D5091" s="8" t="str">
        <f>"9783030805111"</f>
        <v>9783030805111</v>
      </c>
    </row>
    <row r="5092" spans="1:4" x14ac:dyDescent="0.25">
      <c r="A5092" s="7" t="s">
        <v>9654</v>
      </c>
      <c r="B5092" s="8" t="s">
        <v>9655</v>
      </c>
      <c r="C5092" s="8" t="s">
        <v>5064</v>
      </c>
      <c r="D5092" s="8" t="str">
        <f>"9789814338851"</f>
        <v>9789814338851</v>
      </c>
    </row>
    <row r="5093" spans="1:4" x14ac:dyDescent="0.25">
      <c r="A5093" s="7" t="s">
        <v>959</v>
      </c>
      <c r="B5093" s="8" t="s">
        <v>960</v>
      </c>
      <c r="C5093" s="8" t="s">
        <v>697</v>
      </c>
      <c r="D5093" s="8" t="str">
        <f>"9789004281073"</f>
        <v>9789004281073</v>
      </c>
    </row>
    <row r="5094" spans="1:4" x14ac:dyDescent="0.25">
      <c r="A5094" s="7" t="s">
        <v>9079</v>
      </c>
      <c r="B5094" s="8" t="s">
        <v>9080</v>
      </c>
      <c r="C5094" s="8" t="s">
        <v>2273</v>
      </c>
      <c r="D5094" s="8" t="str">
        <f>"9783030827861"</f>
        <v>9783030827861</v>
      </c>
    </row>
    <row r="5095" spans="1:4" ht="30" x14ac:dyDescent="0.25">
      <c r="A5095" s="7" t="s">
        <v>13354</v>
      </c>
      <c r="B5095" s="8" t="s">
        <v>13066</v>
      </c>
      <c r="C5095" s="8" t="s">
        <v>12712</v>
      </c>
      <c r="D5095" s="8" t="str">
        <f>"9783428575145"</f>
        <v>9783428575145</v>
      </c>
    </row>
    <row r="5096" spans="1:4" ht="45" x14ac:dyDescent="0.25">
      <c r="A5096" s="7" t="s">
        <v>13353</v>
      </c>
      <c r="B5096" s="8" t="s">
        <v>13066</v>
      </c>
      <c r="C5096" s="8" t="s">
        <v>12712</v>
      </c>
      <c r="D5096" s="8" t="str">
        <f>"9783428575138"</f>
        <v>9783428575138</v>
      </c>
    </row>
    <row r="5097" spans="1:4" ht="45" x14ac:dyDescent="0.25">
      <c r="A5097" s="7" t="s">
        <v>13355</v>
      </c>
      <c r="B5097" s="8" t="s">
        <v>13066</v>
      </c>
      <c r="C5097" s="8" t="s">
        <v>12712</v>
      </c>
      <c r="D5097" s="8" t="str">
        <f>"9783428575152"</f>
        <v>9783428575152</v>
      </c>
    </row>
    <row r="5098" spans="1:4" ht="30" x14ac:dyDescent="0.25">
      <c r="A5098" s="7" t="s">
        <v>13065</v>
      </c>
      <c r="B5098" s="8" t="s">
        <v>13066</v>
      </c>
      <c r="C5098" s="8" t="s">
        <v>12712</v>
      </c>
      <c r="D5098" s="8" t="str">
        <f>"9783428565696"</f>
        <v>9783428565696</v>
      </c>
    </row>
    <row r="5099" spans="1:4" x14ac:dyDescent="0.25">
      <c r="A5099" s="7" t="s">
        <v>3480</v>
      </c>
      <c r="B5099" s="8" t="s">
        <v>3481</v>
      </c>
      <c r="C5099" s="8" t="s">
        <v>1879</v>
      </c>
      <c r="D5099" s="8" t="str">
        <f>"9781783743407"</f>
        <v>9781783743407</v>
      </c>
    </row>
    <row r="5100" spans="1:4" x14ac:dyDescent="0.25">
      <c r="A5100" s="7" t="s">
        <v>11557</v>
      </c>
      <c r="B5100" s="8" t="s">
        <v>11558</v>
      </c>
      <c r="C5100" s="8" t="s">
        <v>355</v>
      </c>
      <c r="D5100" s="8" t="str">
        <f>"9788395793875"</f>
        <v>9788395793875</v>
      </c>
    </row>
    <row r="5101" spans="1:4" x14ac:dyDescent="0.25">
      <c r="A5101" s="7" t="s">
        <v>5429</v>
      </c>
      <c r="B5101" s="8" t="s">
        <v>5430</v>
      </c>
      <c r="C5101" s="8" t="s">
        <v>5228</v>
      </c>
      <c r="D5101" s="8" t="str">
        <f>"9789811581830"</f>
        <v>9789811581830</v>
      </c>
    </row>
    <row r="5102" spans="1:4" x14ac:dyDescent="0.25">
      <c r="A5102" s="7" t="s">
        <v>9480</v>
      </c>
      <c r="B5102" s="8" t="s">
        <v>9481</v>
      </c>
      <c r="C5102" s="8" t="s">
        <v>2273</v>
      </c>
      <c r="D5102" s="8" t="str">
        <f>"9783030827670"</f>
        <v>9783030827670</v>
      </c>
    </row>
    <row r="5103" spans="1:4" x14ac:dyDescent="0.25">
      <c r="A5103" s="7" t="s">
        <v>14211</v>
      </c>
      <c r="B5103" s="8" t="s">
        <v>220</v>
      </c>
      <c r="C5103" s="8" t="s">
        <v>9256</v>
      </c>
      <c r="D5103" s="8" t="str">
        <f>"9788028001032"</f>
        <v>9788028001032</v>
      </c>
    </row>
    <row r="5104" spans="1:4" x14ac:dyDescent="0.25">
      <c r="A5104" s="7" t="s">
        <v>15045</v>
      </c>
      <c r="B5104" s="8" t="s">
        <v>15046</v>
      </c>
      <c r="C5104" s="8" t="s">
        <v>1865</v>
      </c>
      <c r="D5104" s="8" t="str">
        <f>"9789185895519"</f>
        <v>9789185895519</v>
      </c>
    </row>
    <row r="5105" spans="1:4" ht="30" x14ac:dyDescent="0.25">
      <c r="A5105" s="7" t="s">
        <v>5386</v>
      </c>
      <c r="B5105" s="8" t="s">
        <v>5387</v>
      </c>
      <c r="C5105" s="8" t="s">
        <v>1865</v>
      </c>
      <c r="D5105" s="8" t="str">
        <f>"9789179298333"</f>
        <v>9789179298333</v>
      </c>
    </row>
    <row r="5106" spans="1:4" ht="30" x14ac:dyDescent="0.25">
      <c r="A5106" s="7" t="s">
        <v>7788</v>
      </c>
      <c r="B5106" s="8" t="s">
        <v>7789</v>
      </c>
      <c r="C5106" s="8" t="s">
        <v>2273</v>
      </c>
      <c r="D5106" s="8" t="str">
        <f>"9783030639631"</f>
        <v>9783030639631</v>
      </c>
    </row>
    <row r="5107" spans="1:4" ht="30" x14ac:dyDescent="0.25">
      <c r="A5107" s="7" t="s">
        <v>16374</v>
      </c>
      <c r="B5107" s="8" t="s">
        <v>16375</v>
      </c>
      <c r="C5107" s="8" t="s">
        <v>1865</v>
      </c>
      <c r="D5107" s="8" t="str">
        <f>"9789175194219"</f>
        <v>9789175194219</v>
      </c>
    </row>
    <row r="5108" spans="1:4" x14ac:dyDescent="0.25">
      <c r="A5108" s="7" t="s">
        <v>16364</v>
      </c>
      <c r="B5108" s="8" t="s">
        <v>16365</v>
      </c>
      <c r="C5108" s="8" t="s">
        <v>1865</v>
      </c>
      <c r="D5108" s="8" t="str">
        <f>"9789175192260"</f>
        <v>9789175192260</v>
      </c>
    </row>
    <row r="5109" spans="1:4" ht="30" x14ac:dyDescent="0.25">
      <c r="A5109" s="7" t="s">
        <v>4984</v>
      </c>
      <c r="B5109" s="8" t="s">
        <v>4985</v>
      </c>
      <c r="C5109" s="8" t="s">
        <v>1865</v>
      </c>
      <c r="D5109" s="8" t="str">
        <f>"9789179298463"</f>
        <v>9789179298463</v>
      </c>
    </row>
    <row r="5110" spans="1:4" ht="30" x14ac:dyDescent="0.25">
      <c r="A5110" s="7" t="s">
        <v>3198</v>
      </c>
      <c r="B5110" s="8" t="s">
        <v>3199</v>
      </c>
      <c r="C5110" s="8" t="s">
        <v>1865</v>
      </c>
      <c r="D5110" s="8" t="str">
        <f>"9789176855218"</f>
        <v>9789176855218</v>
      </c>
    </row>
    <row r="5111" spans="1:4" x14ac:dyDescent="0.25">
      <c r="A5111" s="7" t="s">
        <v>3454</v>
      </c>
      <c r="B5111" s="8" t="s">
        <v>3455</v>
      </c>
      <c r="C5111" s="8" t="s">
        <v>1865</v>
      </c>
      <c r="D5111" s="8" t="str">
        <f>"9789176854129"</f>
        <v>9789176854129</v>
      </c>
    </row>
    <row r="5112" spans="1:4" x14ac:dyDescent="0.25">
      <c r="A5112" s="7" t="s">
        <v>11034</v>
      </c>
      <c r="B5112" s="8" t="s">
        <v>11035</v>
      </c>
      <c r="C5112" s="8" t="s">
        <v>2273</v>
      </c>
      <c r="D5112" s="8" t="str">
        <f>"9783030948962"</f>
        <v>9783030948962</v>
      </c>
    </row>
    <row r="5113" spans="1:4" ht="30" x14ac:dyDescent="0.25">
      <c r="A5113" s="7" t="s">
        <v>2345</v>
      </c>
      <c r="B5113" s="8" t="s">
        <v>2346</v>
      </c>
      <c r="C5113" s="8" t="s">
        <v>1345</v>
      </c>
      <c r="D5113" s="8" t="str">
        <f>"9783737600095"</f>
        <v>9783737600095</v>
      </c>
    </row>
    <row r="5114" spans="1:4" x14ac:dyDescent="0.25">
      <c r="A5114" s="7" t="s">
        <v>9281</v>
      </c>
      <c r="B5114" s="8" t="s">
        <v>9282</v>
      </c>
      <c r="C5114" s="8" t="s">
        <v>9256</v>
      </c>
      <c r="D5114" s="8" t="str">
        <f>"9788021089969"</f>
        <v>9788021089969</v>
      </c>
    </row>
    <row r="5115" spans="1:4" ht="30" x14ac:dyDescent="0.25">
      <c r="A5115" s="7" t="s">
        <v>2902</v>
      </c>
      <c r="B5115" s="8"/>
      <c r="C5115" s="8"/>
      <c r="D5115" s="8"/>
    </row>
    <row r="5116" spans="1:4" x14ac:dyDescent="0.25">
      <c r="A5116" s="7" t="s">
        <v>9499</v>
      </c>
      <c r="B5116" s="8" t="s">
        <v>9500</v>
      </c>
      <c r="C5116" s="8" t="s">
        <v>562</v>
      </c>
      <c r="D5116" s="8" t="str">
        <f>"9781478092582"</f>
        <v>9781478092582</v>
      </c>
    </row>
    <row r="5117" spans="1:4" x14ac:dyDescent="0.25">
      <c r="A5117" s="7" t="s">
        <v>6985</v>
      </c>
      <c r="B5117" s="8" t="s">
        <v>6986</v>
      </c>
      <c r="C5117" s="8" t="s">
        <v>2273</v>
      </c>
      <c r="D5117" s="8" t="str">
        <f>"9783030702502"</f>
        <v>9783030702502</v>
      </c>
    </row>
    <row r="5118" spans="1:4" x14ac:dyDescent="0.25">
      <c r="A5118" s="7" t="s">
        <v>14232</v>
      </c>
      <c r="B5118" s="8" t="s">
        <v>14233</v>
      </c>
      <c r="C5118" s="8" t="s">
        <v>9256</v>
      </c>
      <c r="D5118" s="8" t="str">
        <f>"9788028002381"</f>
        <v>9788028002381</v>
      </c>
    </row>
    <row r="5119" spans="1:4" ht="30" x14ac:dyDescent="0.25">
      <c r="A5119" s="7" t="s">
        <v>4643</v>
      </c>
      <c r="B5119" s="8" t="s">
        <v>4644</v>
      </c>
      <c r="C5119" s="8" t="s">
        <v>1865</v>
      </c>
      <c r="D5119" s="8" t="str">
        <f>"9789176850022"</f>
        <v>9789176850022</v>
      </c>
    </row>
    <row r="5120" spans="1:4" ht="30" x14ac:dyDescent="0.25">
      <c r="A5120" s="7" t="s">
        <v>8950</v>
      </c>
      <c r="B5120" s="8" t="s">
        <v>8951</v>
      </c>
      <c r="C5120" s="8" t="s">
        <v>2273</v>
      </c>
      <c r="D5120" s="8" t="str">
        <f>"9783030846473"</f>
        <v>9783030846473</v>
      </c>
    </row>
    <row r="5121" spans="1:4" x14ac:dyDescent="0.25">
      <c r="A5121" s="7" t="s">
        <v>6374</v>
      </c>
      <c r="B5121" s="8" t="s">
        <v>6375</v>
      </c>
      <c r="C5121" s="8" t="s">
        <v>1865</v>
      </c>
      <c r="D5121" s="8" t="str">
        <f>"9789179297213"</f>
        <v>9789179297213</v>
      </c>
    </row>
    <row r="5122" spans="1:4" x14ac:dyDescent="0.25">
      <c r="A5122" s="7" t="s">
        <v>8214</v>
      </c>
      <c r="B5122" s="8" t="s">
        <v>8215</v>
      </c>
      <c r="C5122" s="8" t="s">
        <v>993</v>
      </c>
      <c r="D5122" s="8" t="str">
        <f>"9783839455029"</f>
        <v>9783839455029</v>
      </c>
    </row>
    <row r="5123" spans="1:4" x14ac:dyDescent="0.25">
      <c r="A5123" s="7" t="s">
        <v>1971</v>
      </c>
      <c r="B5123" s="8" t="s">
        <v>1972</v>
      </c>
      <c r="C5123" s="8" t="s">
        <v>1962</v>
      </c>
      <c r="D5123" s="8" t="str">
        <f>"9782759207015"</f>
        <v>9782759207015</v>
      </c>
    </row>
    <row r="5124" spans="1:4" ht="30" x14ac:dyDescent="0.25">
      <c r="A5124" s="7" t="s">
        <v>13400</v>
      </c>
      <c r="B5124" s="8" t="s">
        <v>13401</v>
      </c>
      <c r="C5124" s="8" t="s">
        <v>2273</v>
      </c>
      <c r="D5124" s="8" t="str">
        <f>"9783031041297"</f>
        <v>9783031041297</v>
      </c>
    </row>
    <row r="5125" spans="1:4" x14ac:dyDescent="0.25">
      <c r="A5125" s="7" t="s">
        <v>15431</v>
      </c>
      <c r="B5125" s="8" t="s">
        <v>15432</v>
      </c>
      <c r="C5125" s="8" t="s">
        <v>1865</v>
      </c>
      <c r="D5125" s="8" t="str">
        <f>"9789175199672"</f>
        <v>9789175199672</v>
      </c>
    </row>
    <row r="5126" spans="1:4" x14ac:dyDescent="0.25">
      <c r="A5126" s="7" t="s">
        <v>616</v>
      </c>
      <c r="B5126" s="8" t="s">
        <v>617</v>
      </c>
      <c r="C5126" s="8" t="s">
        <v>562</v>
      </c>
      <c r="D5126" s="8" t="str">
        <f>"9780822393764"</f>
        <v>9780822393764</v>
      </c>
    </row>
    <row r="5127" spans="1:4" ht="30" x14ac:dyDescent="0.25">
      <c r="A5127" s="7" t="s">
        <v>745</v>
      </c>
      <c r="B5127" s="8" t="s">
        <v>746</v>
      </c>
      <c r="C5127" s="8" t="s">
        <v>355</v>
      </c>
      <c r="D5127" s="8" t="str">
        <f>"9788376560298"</f>
        <v>9788376560298</v>
      </c>
    </row>
    <row r="5128" spans="1:4" x14ac:dyDescent="0.25">
      <c r="A5128" s="7" t="s">
        <v>2557</v>
      </c>
      <c r="B5128" s="8" t="s">
        <v>2558</v>
      </c>
      <c r="C5128" s="8" t="s">
        <v>562</v>
      </c>
      <c r="D5128" s="8" t="str">
        <f>"9780822374541"</f>
        <v>9780822374541</v>
      </c>
    </row>
    <row r="5129" spans="1:4" x14ac:dyDescent="0.25">
      <c r="A5129" s="7" t="s">
        <v>14646</v>
      </c>
      <c r="B5129" s="8" t="s">
        <v>12605</v>
      </c>
      <c r="C5129" s="8" t="s">
        <v>1865</v>
      </c>
      <c r="D5129" s="8" t="str">
        <f>"9789179293963"</f>
        <v>9789179293963</v>
      </c>
    </row>
    <row r="5130" spans="1:4" ht="30" x14ac:dyDescent="0.25">
      <c r="A5130" s="7" t="s">
        <v>12626</v>
      </c>
      <c r="B5130" s="8" t="s">
        <v>12627</v>
      </c>
      <c r="C5130" s="8" t="s">
        <v>355</v>
      </c>
      <c r="D5130" s="8" t="str">
        <f>"9783110734522"</f>
        <v>9783110734522</v>
      </c>
    </row>
    <row r="5131" spans="1:4" x14ac:dyDescent="0.25">
      <c r="A5131" s="7" t="s">
        <v>12604</v>
      </c>
      <c r="B5131" s="8" t="s">
        <v>12605</v>
      </c>
      <c r="C5131" s="8" t="s">
        <v>1865</v>
      </c>
      <c r="D5131" s="8" t="str">
        <f>"9789179293956"</f>
        <v>9789179293956</v>
      </c>
    </row>
    <row r="5132" spans="1:4" ht="30" x14ac:dyDescent="0.25">
      <c r="A5132" s="7" t="s">
        <v>9366</v>
      </c>
      <c r="B5132" s="8" t="s">
        <v>9367</v>
      </c>
      <c r="C5132" s="8" t="s">
        <v>9256</v>
      </c>
      <c r="D5132" s="8" t="str">
        <f>"9788021096271"</f>
        <v>9788021096271</v>
      </c>
    </row>
    <row r="5133" spans="1:4" x14ac:dyDescent="0.25">
      <c r="A5133" s="7" t="s">
        <v>236</v>
      </c>
      <c r="B5133" s="8" t="s">
        <v>237</v>
      </c>
      <c r="C5133" s="8" t="s">
        <v>227</v>
      </c>
      <c r="D5133" s="8" t="str">
        <f>"9781847790392"</f>
        <v>9781847790392</v>
      </c>
    </row>
    <row r="5134" spans="1:4" x14ac:dyDescent="0.25">
      <c r="A5134" s="7" t="s">
        <v>6542</v>
      </c>
      <c r="B5134" s="8" t="s">
        <v>6543</v>
      </c>
      <c r="C5134" s="8" t="s">
        <v>993</v>
      </c>
      <c r="D5134" s="8" t="str">
        <f>"9783839455609"</f>
        <v>9783839455609</v>
      </c>
    </row>
    <row r="5135" spans="1:4" x14ac:dyDescent="0.25">
      <c r="A5135" s="7" t="s">
        <v>14520</v>
      </c>
      <c r="B5135" s="8" t="s">
        <v>14521</v>
      </c>
      <c r="C5135" s="8" t="s">
        <v>1865</v>
      </c>
      <c r="D5135" s="8" t="str">
        <f>"9789179296162"</f>
        <v>9789179296162</v>
      </c>
    </row>
    <row r="5136" spans="1:4" x14ac:dyDescent="0.25">
      <c r="A5136" s="7" t="s">
        <v>11883</v>
      </c>
      <c r="B5136" s="8" t="s">
        <v>11884</v>
      </c>
      <c r="C5136" s="8" t="s">
        <v>316</v>
      </c>
      <c r="D5136" s="8" t="str">
        <f>"9783110680744"</f>
        <v>9783110680744</v>
      </c>
    </row>
    <row r="5137" spans="1:4" ht="30" x14ac:dyDescent="0.25">
      <c r="A5137" s="7" t="s">
        <v>8505</v>
      </c>
      <c r="B5137" s="8" t="s">
        <v>8506</v>
      </c>
      <c r="C5137" s="8" t="s">
        <v>993</v>
      </c>
      <c r="D5137" s="8" t="str">
        <f>"9783839450451"</f>
        <v>9783839450451</v>
      </c>
    </row>
    <row r="5138" spans="1:4" ht="30" x14ac:dyDescent="0.25">
      <c r="A5138" s="7" t="s">
        <v>8435</v>
      </c>
      <c r="B5138" s="8" t="s">
        <v>8436</v>
      </c>
      <c r="C5138" s="8" t="s">
        <v>993</v>
      </c>
      <c r="D5138" s="8" t="str">
        <f>"9783839451519"</f>
        <v>9783839451519</v>
      </c>
    </row>
    <row r="5139" spans="1:4" ht="30" x14ac:dyDescent="0.25">
      <c r="A5139" s="7" t="s">
        <v>12033</v>
      </c>
      <c r="B5139" s="8" t="s">
        <v>12034</v>
      </c>
      <c r="C5139" s="8" t="s">
        <v>355</v>
      </c>
      <c r="D5139" s="8" t="str">
        <f>"9783110758825"</f>
        <v>9783110758825</v>
      </c>
    </row>
    <row r="5140" spans="1:4" x14ac:dyDescent="0.25">
      <c r="A5140" s="7" t="s">
        <v>14946</v>
      </c>
      <c r="B5140" s="8" t="s">
        <v>10618</v>
      </c>
      <c r="C5140" s="8" t="s">
        <v>1865</v>
      </c>
      <c r="D5140" s="8" t="str">
        <f>"9789185715138"</f>
        <v>9789185715138</v>
      </c>
    </row>
    <row r="5141" spans="1:4" x14ac:dyDescent="0.25">
      <c r="A5141" s="7" t="s">
        <v>15245</v>
      </c>
      <c r="B5141" s="8" t="s">
        <v>15246</v>
      </c>
      <c r="C5141" s="8" t="s">
        <v>1865</v>
      </c>
      <c r="D5141" s="8" t="str">
        <f>"9789175198927"</f>
        <v>9789175198927</v>
      </c>
    </row>
    <row r="5142" spans="1:4" ht="30" x14ac:dyDescent="0.25">
      <c r="A5142" s="7" t="s">
        <v>4936</v>
      </c>
      <c r="B5142" s="8" t="s">
        <v>4937</v>
      </c>
      <c r="C5142" s="8" t="s">
        <v>1865</v>
      </c>
      <c r="D5142" s="8" t="str">
        <f>"9789179298586"</f>
        <v>9789179298586</v>
      </c>
    </row>
    <row r="5143" spans="1:4" ht="30" x14ac:dyDescent="0.25">
      <c r="A5143" s="7" t="s">
        <v>9658</v>
      </c>
      <c r="B5143" s="8" t="s">
        <v>9659</v>
      </c>
      <c r="C5143" s="8" t="s">
        <v>5086</v>
      </c>
      <c r="D5143" s="8" t="str">
        <f>"9783658371807"</f>
        <v>9783658371807</v>
      </c>
    </row>
    <row r="5144" spans="1:4" ht="30" x14ac:dyDescent="0.25">
      <c r="A5144" s="7" t="s">
        <v>5061</v>
      </c>
      <c r="B5144" s="8" t="s">
        <v>5062</v>
      </c>
      <c r="C5144" s="8" t="s">
        <v>1865</v>
      </c>
      <c r="D5144" s="8" t="str">
        <f>"9789179298166"</f>
        <v>9789179298166</v>
      </c>
    </row>
    <row r="5145" spans="1:4" x14ac:dyDescent="0.25">
      <c r="A5145" s="7" t="s">
        <v>4469</v>
      </c>
      <c r="B5145" s="8" t="s">
        <v>4470</v>
      </c>
      <c r="C5145" s="8" t="s">
        <v>355</v>
      </c>
      <c r="D5145" s="8" t="str">
        <f>"9783110576092"</f>
        <v>9783110576092</v>
      </c>
    </row>
    <row r="5146" spans="1:4" x14ac:dyDescent="0.25">
      <c r="A5146" s="7" t="s">
        <v>8081</v>
      </c>
      <c r="B5146" s="8" t="s">
        <v>8082</v>
      </c>
      <c r="C5146" s="8" t="s">
        <v>993</v>
      </c>
      <c r="D5146" s="8" t="str">
        <f>"9783839458082"</f>
        <v>9783839458082</v>
      </c>
    </row>
    <row r="5147" spans="1:4" ht="30" x14ac:dyDescent="0.25">
      <c r="A5147" s="7" t="s">
        <v>12560</v>
      </c>
      <c r="B5147" s="8" t="s">
        <v>12561</v>
      </c>
      <c r="C5147" s="8" t="s">
        <v>2073</v>
      </c>
      <c r="D5147" s="8" t="str">
        <f>"9781438490120"</f>
        <v>9781438490120</v>
      </c>
    </row>
    <row r="5148" spans="1:4" x14ac:dyDescent="0.25">
      <c r="A5148" s="7" t="s">
        <v>8625</v>
      </c>
      <c r="B5148" s="8" t="s">
        <v>8626</v>
      </c>
      <c r="C5148" s="8" t="s">
        <v>562</v>
      </c>
      <c r="D5148" s="8" t="str">
        <f>"9781478092636"</f>
        <v>9781478092636</v>
      </c>
    </row>
    <row r="5149" spans="1:4" x14ac:dyDescent="0.25">
      <c r="A5149" s="7" t="s">
        <v>8485</v>
      </c>
      <c r="B5149" s="8" t="s">
        <v>8486</v>
      </c>
      <c r="C5149" s="8" t="s">
        <v>993</v>
      </c>
      <c r="D5149" s="8" t="str">
        <f>"9783839448274"</f>
        <v>9783839448274</v>
      </c>
    </row>
    <row r="5150" spans="1:4" ht="30" x14ac:dyDescent="0.25">
      <c r="A5150" s="7" t="s">
        <v>655</v>
      </c>
      <c r="B5150" s="8" t="s">
        <v>656</v>
      </c>
      <c r="C5150" s="8" t="s">
        <v>355</v>
      </c>
      <c r="D5150" s="8" t="str">
        <f>"9788376560113"</f>
        <v>9788376560113</v>
      </c>
    </row>
    <row r="5151" spans="1:4" x14ac:dyDescent="0.25">
      <c r="A5151" s="7" t="s">
        <v>9350</v>
      </c>
      <c r="B5151" s="8" t="s">
        <v>9351</v>
      </c>
      <c r="C5151" s="8" t="s">
        <v>9256</v>
      </c>
      <c r="D5151" s="8" t="str">
        <f>"9788021095946"</f>
        <v>9788021095946</v>
      </c>
    </row>
    <row r="5152" spans="1:4" ht="30" x14ac:dyDescent="0.25">
      <c r="A5152" s="7" t="s">
        <v>13025</v>
      </c>
      <c r="B5152" s="8" t="s">
        <v>13026</v>
      </c>
      <c r="C5152" s="8" t="s">
        <v>12712</v>
      </c>
      <c r="D5152" s="8" t="str">
        <f>"9783428471256"</f>
        <v>9783428471256</v>
      </c>
    </row>
    <row r="5153" spans="1:4" x14ac:dyDescent="0.25">
      <c r="A5153" s="7" t="s">
        <v>2377</v>
      </c>
      <c r="B5153" s="8" t="s">
        <v>2378</v>
      </c>
      <c r="C5153" s="8" t="s">
        <v>1879</v>
      </c>
      <c r="D5153" s="8" t="str">
        <f>"9781783740994"</f>
        <v>9781783740994</v>
      </c>
    </row>
    <row r="5154" spans="1:4" x14ac:dyDescent="0.25">
      <c r="A5154" s="7" t="s">
        <v>15038</v>
      </c>
      <c r="B5154" s="8" t="s">
        <v>3585</v>
      </c>
      <c r="C5154" s="8" t="s">
        <v>1865</v>
      </c>
      <c r="D5154" s="8" t="str">
        <f>"9789175191058"</f>
        <v>9789175191058</v>
      </c>
    </row>
    <row r="5155" spans="1:4" x14ac:dyDescent="0.25">
      <c r="A5155" s="7" t="s">
        <v>14057</v>
      </c>
      <c r="B5155" s="8" t="s">
        <v>14039</v>
      </c>
      <c r="C5155" s="8" t="s">
        <v>13997</v>
      </c>
      <c r="D5155" s="8" t="str">
        <f>"9789568416874"</f>
        <v>9789568416874</v>
      </c>
    </row>
    <row r="5156" spans="1:4" x14ac:dyDescent="0.25">
      <c r="A5156" s="7" t="s">
        <v>6937</v>
      </c>
      <c r="B5156" s="8" t="s">
        <v>6938</v>
      </c>
      <c r="C5156" s="8" t="s">
        <v>1865</v>
      </c>
      <c r="D5156" s="8" t="str">
        <f>"9789179296513"</f>
        <v>9789179296513</v>
      </c>
    </row>
    <row r="5157" spans="1:4" x14ac:dyDescent="0.25">
      <c r="A5157" s="7" t="s">
        <v>15145</v>
      </c>
      <c r="B5157" s="8" t="s">
        <v>15146</v>
      </c>
      <c r="C5157" s="8" t="s">
        <v>1865</v>
      </c>
      <c r="D5157" s="8" t="str">
        <f>"9789175192383"</f>
        <v>9789175192383</v>
      </c>
    </row>
    <row r="5158" spans="1:4" ht="30" x14ac:dyDescent="0.25">
      <c r="A5158" s="7" t="s">
        <v>6019</v>
      </c>
      <c r="B5158" s="8" t="s">
        <v>6020</v>
      </c>
      <c r="C5158" s="8" t="s">
        <v>5228</v>
      </c>
      <c r="D5158" s="8" t="str">
        <f>"9781137403605"</f>
        <v>9781137403605</v>
      </c>
    </row>
    <row r="5159" spans="1:4" ht="30" x14ac:dyDescent="0.25">
      <c r="A5159" s="7" t="s">
        <v>10944</v>
      </c>
      <c r="B5159" s="8" t="s">
        <v>10945</v>
      </c>
      <c r="C5159" s="8" t="s">
        <v>9138</v>
      </c>
      <c r="D5159" s="8" t="str">
        <f>"9780520971103"</f>
        <v>9780520971103</v>
      </c>
    </row>
    <row r="5160" spans="1:4" x14ac:dyDescent="0.25">
      <c r="A5160" s="7" t="s">
        <v>16308</v>
      </c>
      <c r="B5160" s="8" t="s">
        <v>16309</v>
      </c>
      <c r="C5160" s="8" t="s">
        <v>1865</v>
      </c>
      <c r="D5160" s="8" t="str">
        <f>"9789175196886"</f>
        <v>9789175196886</v>
      </c>
    </row>
    <row r="5161" spans="1:4" x14ac:dyDescent="0.25">
      <c r="A5161" s="7" t="s">
        <v>14828</v>
      </c>
      <c r="B5161" s="8" t="s">
        <v>14829</v>
      </c>
      <c r="C5161" s="8" t="s">
        <v>1865</v>
      </c>
      <c r="D5161" s="8" t="str">
        <f>"9789175190211"</f>
        <v>9789175190211</v>
      </c>
    </row>
    <row r="5162" spans="1:4" x14ac:dyDescent="0.25">
      <c r="A5162" s="7" t="s">
        <v>16321</v>
      </c>
      <c r="B5162" s="8" t="s">
        <v>16322</v>
      </c>
      <c r="C5162" s="8" t="s">
        <v>1865</v>
      </c>
      <c r="D5162" s="8" t="str">
        <f>"9789180750622"</f>
        <v>9789180750622</v>
      </c>
    </row>
    <row r="5163" spans="1:4" x14ac:dyDescent="0.25">
      <c r="A5163" s="7" t="s">
        <v>4689</v>
      </c>
      <c r="B5163" s="8" t="s">
        <v>4690</v>
      </c>
      <c r="C5163" s="8" t="s">
        <v>1865</v>
      </c>
      <c r="D5163" s="8" t="str">
        <f>"9789179299736"</f>
        <v>9789179299736</v>
      </c>
    </row>
    <row r="5164" spans="1:4" ht="30" x14ac:dyDescent="0.25">
      <c r="A5164" s="7" t="s">
        <v>14572</v>
      </c>
      <c r="B5164" s="8" t="s">
        <v>14573</v>
      </c>
      <c r="C5164" s="8" t="s">
        <v>1865</v>
      </c>
      <c r="D5164" s="8" t="str">
        <f>"9789179298777"</f>
        <v>9789179298777</v>
      </c>
    </row>
    <row r="5165" spans="1:4" x14ac:dyDescent="0.25">
      <c r="A5165" s="7" t="s">
        <v>7618</v>
      </c>
      <c r="B5165" s="8" t="s">
        <v>7595</v>
      </c>
      <c r="C5165" s="8" t="s">
        <v>993</v>
      </c>
      <c r="D5165" s="8" t="str">
        <f>"9783839420966"</f>
        <v>9783839420966</v>
      </c>
    </row>
    <row r="5166" spans="1:4" x14ac:dyDescent="0.25">
      <c r="A5166" s="7" t="s">
        <v>9576</v>
      </c>
      <c r="B5166" s="8" t="s">
        <v>9577</v>
      </c>
      <c r="C5166" s="8" t="s">
        <v>2274</v>
      </c>
      <c r="D5166" s="8" t="str">
        <f>"9789811676215"</f>
        <v>9789811676215</v>
      </c>
    </row>
    <row r="5167" spans="1:4" ht="30" x14ac:dyDescent="0.25">
      <c r="A5167" s="7" t="s">
        <v>3968</v>
      </c>
      <c r="B5167" s="8" t="s">
        <v>3969</v>
      </c>
      <c r="C5167" s="8" t="s">
        <v>1865</v>
      </c>
      <c r="D5167" s="8" t="str">
        <f>"9789176852552"</f>
        <v>9789176852552</v>
      </c>
    </row>
    <row r="5168" spans="1:4" x14ac:dyDescent="0.25">
      <c r="A5168" s="7" t="s">
        <v>7319</v>
      </c>
      <c r="B5168" s="8" t="s">
        <v>7320</v>
      </c>
      <c r="C5168" s="8" t="s">
        <v>2273</v>
      </c>
      <c r="D5168" s="8" t="str">
        <f>"9783030639600"</f>
        <v>9783030639600</v>
      </c>
    </row>
    <row r="5169" spans="1:4" ht="30" x14ac:dyDescent="0.25">
      <c r="A5169" s="7" t="s">
        <v>8669</v>
      </c>
      <c r="B5169" s="8" t="s">
        <v>8670</v>
      </c>
      <c r="C5169" s="8" t="s">
        <v>1865</v>
      </c>
      <c r="D5169" s="8" t="str">
        <f>"9789179291037"</f>
        <v>9789179291037</v>
      </c>
    </row>
    <row r="5170" spans="1:4" ht="30" x14ac:dyDescent="0.25">
      <c r="A5170" s="7" t="s">
        <v>4832</v>
      </c>
      <c r="B5170" s="8" t="s">
        <v>4833</v>
      </c>
      <c r="C5170" s="8" t="s">
        <v>1865</v>
      </c>
      <c r="D5170" s="8" t="str">
        <f>"9789179298999"</f>
        <v>9789179298999</v>
      </c>
    </row>
    <row r="5171" spans="1:4" x14ac:dyDescent="0.25">
      <c r="A5171" s="7" t="s">
        <v>13461</v>
      </c>
      <c r="B5171" s="8" t="s">
        <v>12716</v>
      </c>
      <c r="C5171" s="8" t="s">
        <v>12712</v>
      </c>
      <c r="D5171" s="8" t="str">
        <f>"9783428410743"</f>
        <v>9783428410743</v>
      </c>
    </row>
    <row r="5172" spans="1:4" ht="30" x14ac:dyDescent="0.25">
      <c r="A5172" s="7" t="s">
        <v>5582</v>
      </c>
      <c r="B5172" s="8" t="s">
        <v>5583</v>
      </c>
      <c r="C5172" s="8" t="s">
        <v>2273</v>
      </c>
      <c r="D5172" s="8" t="str">
        <f>"9783030601249"</f>
        <v>9783030601249</v>
      </c>
    </row>
    <row r="5173" spans="1:4" x14ac:dyDescent="0.25">
      <c r="A5173" s="7" t="s">
        <v>10619</v>
      </c>
      <c r="B5173" s="8" t="s">
        <v>10620</v>
      </c>
      <c r="C5173" s="8" t="s">
        <v>1865</v>
      </c>
      <c r="D5173" s="8" t="str">
        <f>"9789179290184"</f>
        <v>9789179290184</v>
      </c>
    </row>
    <row r="5174" spans="1:4" ht="30" x14ac:dyDescent="0.25">
      <c r="A5174" s="7" t="s">
        <v>8441</v>
      </c>
      <c r="B5174" s="8" t="s">
        <v>8442</v>
      </c>
      <c r="C5174" s="8" t="s">
        <v>993</v>
      </c>
      <c r="D5174" s="8" t="str">
        <f>"9783839455326"</f>
        <v>9783839455326</v>
      </c>
    </row>
    <row r="5175" spans="1:4" x14ac:dyDescent="0.25">
      <c r="A5175" s="7" t="s">
        <v>16132</v>
      </c>
      <c r="B5175" s="8" t="s">
        <v>2497</v>
      </c>
      <c r="C5175" s="8" t="s">
        <v>1865</v>
      </c>
      <c r="D5175" s="8" t="str">
        <f>"9789175196947"</f>
        <v>9789175196947</v>
      </c>
    </row>
    <row r="5176" spans="1:4" x14ac:dyDescent="0.25">
      <c r="A5176" s="7" t="s">
        <v>13431</v>
      </c>
      <c r="B5176" s="8" t="s">
        <v>3880</v>
      </c>
      <c r="C5176" s="8" t="s">
        <v>2273</v>
      </c>
      <c r="D5176" s="8" t="str">
        <f>"9783030958640"</f>
        <v>9783030958640</v>
      </c>
    </row>
    <row r="5177" spans="1:4" x14ac:dyDescent="0.25">
      <c r="A5177" s="7" t="s">
        <v>8990</v>
      </c>
      <c r="B5177" s="8" t="s">
        <v>8991</v>
      </c>
      <c r="C5177" s="8" t="s">
        <v>2273</v>
      </c>
      <c r="D5177" s="8" t="str">
        <f>"9783030890100"</f>
        <v>9783030890100</v>
      </c>
    </row>
    <row r="5178" spans="1:4" x14ac:dyDescent="0.25">
      <c r="A5178" s="7" t="s">
        <v>13609</v>
      </c>
      <c r="B5178" s="8" t="s">
        <v>13610</v>
      </c>
      <c r="C5178" s="8" t="s">
        <v>2273</v>
      </c>
      <c r="D5178" s="8" t="str">
        <f>"9783031090165"</f>
        <v>9783031090165</v>
      </c>
    </row>
    <row r="5179" spans="1:4" x14ac:dyDescent="0.25">
      <c r="A5179" s="7" t="s">
        <v>14979</v>
      </c>
      <c r="B5179" s="8" t="s">
        <v>14980</v>
      </c>
      <c r="C5179" s="8" t="s">
        <v>1865</v>
      </c>
      <c r="D5179" s="8" t="str">
        <f>"9789175199313"</f>
        <v>9789175199313</v>
      </c>
    </row>
    <row r="5180" spans="1:4" x14ac:dyDescent="0.25">
      <c r="A5180" s="7" t="s">
        <v>6755</v>
      </c>
      <c r="B5180" s="8" t="s">
        <v>77</v>
      </c>
      <c r="C5180" s="8" t="s">
        <v>2273</v>
      </c>
      <c r="D5180" s="8" t="str">
        <f>"9783030712815"</f>
        <v>9783030712815</v>
      </c>
    </row>
    <row r="5181" spans="1:4" x14ac:dyDescent="0.25">
      <c r="A5181" s="7" t="s">
        <v>9754</v>
      </c>
      <c r="B5181" s="8" t="s">
        <v>9755</v>
      </c>
      <c r="C5181" s="8" t="s">
        <v>993</v>
      </c>
      <c r="D5181" s="8" t="str">
        <f>"9783839403600"</f>
        <v>9783839403600</v>
      </c>
    </row>
    <row r="5182" spans="1:4" x14ac:dyDescent="0.25">
      <c r="A5182" s="7" t="s">
        <v>9537</v>
      </c>
      <c r="B5182" s="8" t="s">
        <v>9538</v>
      </c>
      <c r="C5182" s="8" t="s">
        <v>2273</v>
      </c>
      <c r="D5182" s="8" t="str">
        <f>"9783030806460"</f>
        <v>9783030806460</v>
      </c>
    </row>
    <row r="5183" spans="1:4" x14ac:dyDescent="0.25">
      <c r="A5183" s="7" t="s">
        <v>8208</v>
      </c>
      <c r="B5183" s="8" t="s">
        <v>8209</v>
      </c>
      <c r="C5183" s="8" t="s">
        <v>993</v>
      </c>
      <c r="D5183" s="8" t="str">
        <f>"9783839451458"</f>
        <v>9783839451458</v>
      </c>
    </row>
    <row r="5184" spans="1:4" x14ac:dyDescent="0.25">
      <c r="A5184" s="7" t="s">
        <v>10428</v>
      </c>
      <c r="B5184" s="8" t="s">
        <v>10429</v>
      </c>
      <c r="C5184" s="8" t="s">
        <v>993</v>
      </c>
      <c r="D5184" s="8" t="str">
        <f>"9783839456576"</f>
        <v>9783839456576</v>
      </c>
    </row>
    <row r="5185" spans="1:4" x14ac:dyDescent="0.25">
      <c r="A5185" s="7" t="s">
        <v>7827</v>
      </c>
      <c r="B5185" s="8" t="s">
        <v>7828</v>
      </c>
      <c r="C5185" s="8" t="s">
        <v>2273</v>
      </c>
      <c r="D5185" s="8" t="str">
        <f>"9783030768829"</f>
        <v>9783030768829</v>
      </c>
    </row>
    <row r="5186" spans="1:4" ht="30" x14ac:dyDescent="0.25">
      <c r="A5186" s="7" t="s">
        <v>10029</v>
      </c>
      <c r="B5186" s="8" t="s">
        <v>10030</v>
      </c>
      <c r="C5186" s="8" t="s">
        <v>993</v>
      </c>
      <c r="D5186" s="8" t="str">
        <f>"9783839410745"</f>
        <v>9783839410745</v>
      </c>
    </row>
    <row r="5187" spans="1:4" x14ac:dyDescent="0.25">
      <c r="A5187" s="7" t="s">
        <v>10960</v>
      </c>
      <c r="B5187" s="8" t="s">
        <v>10961</v>
      </c>
      <c r="C5187" s="8" t="s">
        <v>9138</v>
      </c>
      <c r="D5187" s="8" t="str">
        <f>"9780520972032"</f>
        <v>9780520972032</v>
      </c>
    </row>
    <row r="5188" spans="1:4" x14ac:dyDescent="0.25">
      <c r="A5188" s="7" t="s">
        <v>10263</v>
      </c>
      <c r="B5188" s="8" t="s">
        <v>10264</v>
      </c>
      <c r="C5188" s="8" t="s">
        <v>993</v>
      </c>
      <c r="D5188" s="8" t="str">
        <f>"9783839446676"</f>
        <v>9783839446676</v>
      </c>
    </row>
    <row r="5189" spans="1:4" x14ac:dyDescent="0.25">
      <c r="A5189" s="7" t="s">
        <v>14196</v>
      </c>
      <c r="B5189" s="8" t="s">
        <v>136</v>
      </c>
      <c r="C5189" s="8" t="s">
        <v>9256</v>
      </c>
      <c r="D5189" s="8" t="str">
        <f>"9788028000288"</f>
        <v>9788028000288</v>
      </c>
    </row>
    <row r="5190" spans="1:4" x14ac:dyDescent="0.25">
      <c r="A5190" s="7" t="s">
        <v>14035</v>
      </c>
      <c r="B5190" s="8" t="s">
        <v>14036</v>
      </c>
      <c r="C5190" s="8" t="s">
        <v>13997</v>
      </c>
      <c r="D5190" s="8" t="str">
        <f>"9789566095378"</f>
        <v>9789566095378</v>
      </c>
    </row>
    <row r="5191" spans="1:4" ht="30" x14ac:dyDescent="0.25">
      <c r="A5191" s="7" t="s">
        <v>8320</v>
      </c>
      <c r="B5191" s="8" t="s">
        <v>8321</v>
      </c>
      <c r="C5191" s="8" t="s">
        <v>993</v>
      </c>
      <c r="D5191" s="8" t="str">
        <f>"9783839450956"</f>
        <v>9783839450956</v>
      </c>
    </row>
    <row r="5192" spans="1:4" x14ac:dyDescent="0.25">
      <c r="A5192" s="7" t="s">
        <v>2955</v>
      </c>
      <c r="B5192" s="8" t="s">
        <v>646</v>
      </c>
      <c r="C5192" s="8" t="s">
        <v>562</v>
      </c>
      <c r="D5192" s="8" t="str">
        <f>"9780822373773"</f>
        <v>9780822373773</v>
      </c>
    </row>
    <row r="5193" spans="1:4" ht="30" x14ac:dyDescent="0.25">
      <c r="A5193" s="7" t="s">
        <v>7484</v>
      </c>
      <c r="B5193" s="8" t="s">
        <v>7485</v>
      </c>
      <c r="C5193" s="8" t="s">
        <v>993</v>
      </c>
      <c r="D5193" s="8" t="str">
        <f>"9783839435045"</f>
        <v>9783839435045</v>
      </c>
    </row>
    <row r="5194" spans="1:4" ht="30" x14ac:dyDescent="0.25">
      <c r="A5194" s="7" t="s">
        <v>9811</v>
      </c>
      <c r="B5194" s="8" t="s">
        <v>9812</v>
      </c>
      <c r="C5194" s="8" t="s">
        <v>993</v>
      </c>
      <c r="D5194" s="8" t="str">
        <f>"9783839405116"</f>
        <v>9783839405116</v>
      </c>
    </row>
    <row r="5195" spans="1:4" ht="30" x14ac:dyDescent="0.25">
      <c r="A5195" s="7" t="s">
        <v>10163</v>
      </c>
      <c r="B5195" s="8" t="s">
        <v>10164</v>
      </c>
      <c r="C5195" s="8" t="s">
        <v>993</v>
      </c>
      <c r="D5195" s="8" t="str">
        <f>"9783839441992"</f>
        <v>9783839441992</v>
      </c>
    </row>
    <row r="5196" spans="1:4" x14ac:dyDescent="0.25">
      <c r="A5196" s="7" t="s">
        <v>10468</v>
      </c>
      <c r="B5196" s="8" t="s">
        <v>10469</v>
      </c>
      <c r="C5196" s="8" t="s">
        <v>993</v>
      </c>
      <c r="D5196" s="8" t="str">
        <f>"9783839457467"</f>
        <v>9783839457467</v>
      </c>
    </row>
    <row r="5197" spans="1:4" x14ac:dyDescent="0.25">
      <c r="A5197" s="7" t="s">
        <v>10157</v>
      </c>
      <c r="B5197" s="8" t="s">
        <v>10158</v>
      </c>
      <c r="C5197" s="8" t="s">
        <v>993</v>
      </c>
      <c r="D5197" s="8" t="str">
        <f>"9783839441831"</f>
        <v>9783839441831</v>
      </c>
    </row>
    <row r="5198" spans="1:4" ht="30" x14ac:dyDescent="0.25">
      <c r="A5198" s="7" t="s">
        <v>12335</v>
      </c>
      <c r="B5198" s="8" t="s">
        <v>12336</v>
      </c>
      <c r="C5198" s="8" t="s">
        <v>993</v>
      </c>
      <c r="D5198" s="8" t="str">
        <f>"9783839461679"</f>
        <v>9783839461679</v>
      </c>
    </row>
    <row r="5199" spans="1:4" x14ac:dyDescent="0.25">
      <c r="A5199" s="7" t="s">
        <v>755</v>
      </c>
      <c r="B5199" s="8" t="s">
        <v>756</v>
      </c>
      <c r="C5199" s="8" t="s">
        <v>355</v>
      </c>
      <c r="D5199" s="8" t="str">
        <f>"9788376560595"</f>
        <v>9788376560595</v>
      </c>
    </row>
    <row r="5200" spans="1:4" ht="30" x14ac:dyDescent="0.25">
      <c r="A5200" s="7" t="s">
        <v>13408</v>
      </c>
      <c r="B5200" s="8" t="s">
        <v>13409</v>
      </c>
      <c r="C5200" s="8" t="s">
        <v>5086</v>
      </c>
      <c r="D5200" s="8" t="str">
        <f>"9783658390655"</f>
        <v>9783658390655</v>
      </c>
    </row>
    <row r="5201" spans="1:4" ht="30" x14ac:dyDescent="0.25">
      <c r="A5201" s="7" t="s">
        <v>8299</v>
      </c>
      <c r="B5201" s="8" t="s">
        <v>8300</v>
      </c>
      <c r="C5201" s="8" t="s">
        <v>993</v>
      </c>
      <c r="D5201" s="8" t="str">
        <f>"9783839457115"</f>
        <v>9783839457115</v>
      </c>
    </row>
    <row r="5202" spans="1:4" x14ac:dyDescent="0.25">
      <c r="A5202" s="7" t="s">
        <v>3896</v>
      </c>
      <c r="B5202" s="8" t="s">
        <v>3897</v>
      </c>
      <c r="C5202" s="8" t="s">
        <v>355</v>
      </c>
      <c r="D5202" s="8" t="str">
        <f>"9783110440003"</f>
        <v>9783110440003</v>
      </c>
    </row>
    <row r="5203" spans="1:4" x14ac:dyDescent="0.25">
      <c r="A5203" s="7" t="s">
        <v>798</v>
      </c>
      <c r="B5203" s="8" t="s">
        <v>799</v>
      </c>
      <c r="C5203" s="8" t="s">
        <v>355</v>
      </c>
      <c r="D5203" s="8" t="str">
        <f>"9788376560717"</f>
        <v>9788376560717</v>
      </c>
    </row>
    <row r="5204" spans="1:4" x14ac:dyDescent="0.25">
      <c r="A5204" s="7" t="s">
        <v>8571</v>
      </c>
      <c r="B5204" s="8" t="s">
        <v>8572</v>
      </c>
      <c r="C5204" s="8" t="s">
        <v>5358</v>
      </c>
      <c r="D5204" s="8" t="str">
        <f>"9781789249118"</f>
        <v>9781789249118</v>
      </c>
    </row>
    <row r="5205" spans="1:4" x14ac:dyDescent="0.25">
      <c r="A5205" s="7" t="s">
        <v>14729</v>
      </c>
      <c r="B5205" s="8" t="s">
        <v>14730</v>
      </c>
      <c r="C5205" s="8" t="s">
        <v>1865</v>
      </c>
      <c r="D5205" s="8" t="str">
        <f>"9789173935395"</f>
        <v>9789173935395</v>
      </c>
    </row>
    <row r="5206" spans="1:4" x14ac:dyDescent="0.25">
      <c r="A5206" s="7" t="s">
        <v>9314</v>
      </c>
      <c r="B5206" s="8" t="s">
        <v>9315</v>
      </c>
      <c r="C5206" s="8" t="s">
        <v>9256</v>
      </c>
      <c r="D5206" s="8" t="str">
        <f>"9788021094857"</f>
        <v>9788021094857</v>
      </c>
    </row>
    <row r="5207" spans="1:4" x14ac:dyDescent="0.25">
      <c r="A5207" s="7" t="s">
        <v>816</v>
      </c>
      <c r="B5207" s="8" t="s">
        <v>817</v>
      </c>
      <c r="C5207" s="8" t="s">
        <v>562</v>
      </c>
      <c r="D5207" s="8" t="str">
        <f>"9780822378280"</f>
        <v>9780822378280</v>
      </c>
    </row>
    <row r="5208" spans="1:4" x14ac:dyDescent="0.25">
      <c r="A5208" s="7" t="s">
        <v>5440</v>
      </c>
      <c r="B5208" s="8" t="s">
        <v>5441</v>
      </c>
      <c r="C5208" s="8" t="s">
        <v>5064</v>
      </c>
      <c r="D5208" s="8" t="str">
        <f>"9789814759915"</f>
        <v>9789814759915</v>
      </c>
    </row>
    <row r="5209" spans="1:4" x14ac:dyDescent="0.25">
      <c r="A5209" s="7" t="s">
        <v>15834</v>
      </c>
      <c r="B5209" s="8" t="s">
        <v>15835</v>
      </c>
      <c r="C5209" s="8" t="s">
        <v>1865</v>
      </c>
      <c r="D5209" s="8" t="str">
        <f>"9789179296087"</f>
        <v>9789179296087</v>
      </c>
    </row>
    <row r="5210" spans="1:4" ht="30" x14ac:dyDescent="0.25">
      <c r="A5210" s="7" t="s">
        <v>4353</v>
      </c>
      <c r="B5210" s="8" t="s">
        <v>4354</v>
      </c>
      <c r="C5210" s="8" t="s">
        <v>1865</v>
      </c>
      <c r="D5210" s="8" t="str">
        <f>"9789176851425"</f>
        <v>9789176851425</v>
      </c>
    </row>
    <row r="5211" spans="1:4" x14ac:dyDescent="0.25">
      <c r="A5211" s="7" t="s">
        <v>4169</v>
      </c>
      <c r="B5211" s="8" t="s">
        <v>4170</v>
      </c>
      <c r="C5211" s="8" t="s">
        <v>1865</v>
      </c>
      <c r="D5211" s="8" t="str">
        <f>"9789176851838"</f>
        <v>9789176851838</v>
      </c>
    </row>
    <row r="5212" spans="1:4" ht="30" x14ac:dyDescent="0.25">
      <c r="A5212" s="7" t="s">
        <v>7059</v>
      </c>
      <c r="B5212" s="8" t="s">
        <v>172</v>
      </c>
      <c r="C5212" s="8" t="s">
        <v>355</v>
      </c>
      <c r="D5212" s="8" t="str">
        <f>"9783110652543"</f>
        <v>9783110652543</v>
      </c>
    </row>
    <row r="5213" spans="1:4" x14ac:dyDescent="0.25">
      <c r="A5213" s="7" t="s">
        <v>9967</v>
      </c>
      <c r="B5213" s="8" t="s">
        <v>9968</v>
      </c>
      <c r="C5213" s="8" t="s">
        <v>993</v>
      </c>
      <c r="D5213" s="8" t="str">
        <f>"9783839408933"</f>
        <v>9783839408933</v>
      </c>
    </row>
    <row r="5214" spans="1:4" x14ac:dyDescent="0.25">
      <c r="A5214" s="7" t="s">
        <v>9396</v>
      </c>
      <c r="B5214" s="8" t="s">
        <v>132</v>
      </c>
      <c r="C5214" s="8" t="s">
        <v>9256</v>
      </c>
      <c r="D5214" s="8" t="str">
        <f>"9788021097544"</f>
        <v>9788021097544</v>
      </c>
    </row>
    <row r="5215" spans="1:4" ht="30" x14ac:dyDescent="0.25">
      <c r="A5215" s="7" t="s">
        <v>8446</v>
      </c>
      <c r="B5215" s="8" t="s">
        <v>8447</v>
      </c>
      <c r="C5215" s="8" t="s">
        <v>993</v>
      </c>
      <c r="D5215" s="8" t="str">
        <f>"9783839454145"</f>
        <v>9783839454145</v>
      </c>
    </row>
    <row r="5216" spans="1:4" ht="30" x14ac:dyDescent="0.25">
      <c r="A5216" s="7" t="s">
        <v>12136</v>
      </c>
      <c r="B5216" s="8" t="s">
        <v>12137</v>
      </c>
      <c r="C5216" s="8" t="s">
        <v>355</v>
      </c>
      <c r="D5216" s="8" t="str">
        <f>"9783110667004"</f>
        <v>9783110667004</v>
      </c>
    </row>
    <row r="5217" spans="1:4" x14ac:dyDescent="0.25">
      <c r="A5217" s="7" t="s">
        <v>7696</v>
      </c>
      <c r="B5217" s="8" t="s">
        <v>7697</v>
      </c>
      <c r="C5217" s="8" t="s">
        <v>993</v>
      </c>
      <c r="D5217" s="8" t="str">
        <f>"9783839425046"</f>
        <v>9783839425046</v>
      </c>
    </row>
    <row r="5218" spans="1:4" x14ac:dyDescent="0.25">
      <c r="A5218" s="7" t="s">
        <v>3025</v>
      </c>
      <c r="B5218" s="8" t="s">
        <v>3026</v>
      </c>
      <c r="C5218" s="8" t="s">
        <v>1345</v>
      </c>
      <c r="D5218" s="8" t="str">
        <f>"9783737602396"</f>
        <v>9783737602396</v>
      </c>
    </row>
    <row r="5219" spans="1:4" x14ac:dyDescent="0.25">
      <c r="A5219" s="7" t="s">
        <v>8096</v>
      </c>
      <c r="B5219" s="8" t="s">
        <v>8097</v>
      </c>
      <c r="C5219" s="8" t="s">
        <v>5086</v>
      </c>
      <c r="D5219" s="8" t="str">
        <f>"9783658314668"</f>
        <v>9783658314668</v>
      </c>
    </row>
    <row r="5220" spans="1:4" ht="30" x14ac:dyDescent="0.25">
      <c r="A5220" s="7" t="s">
        <v>8218</v>
      </c>
      <c r="B5220" s="8" t="s">
        <v>8220</v>
      </c>
      <c r="C5220" s="8" t="s">
        <v>993</v>
      </c>
      <c r="D5220" s="8" t="str">
        <f>"9783839456927"</f>
        <v>9783839456927</v>
      </c>
    </row>
    <row r="5221" spans="1:4" ht="30" x14ac:dyDescent="0.25">
      <c r="A5221" s="7" t="s">
        <v>7280</v>
      </c>
      <c r="B5221" s="8" t="s">
        <v>7281</v>
      </c>
      <c r="C5221" s="8" t="s">
        <v>5086</v>
      </c>
      <c r="D5221" s="8" t="str">
        <f>"9783658339272"</f>
        <v>9783658339272</v>
      </c>
    </row>
    <row r="5222" spans="1:4" x14ac:dyDescent="0.25">
      <c r="A5222" s="7" t="s">
        <v>2907</v>
      </c>
      <c r="B5222" s="8" t="s">
        <v>2908</v>
      </c>
      <c r="C5222" s="8" t="s">
        <v>1345</v>
      </c>
      <c r="D5222" s="8" t="str">
        <f>"9783737602235"</f>
        <v>9783737602235</v>
      </c>
    </row>
    <row r="5223" spans="1:4" ht="30" x14ac:dyDescent="0.25">
      <c r="A5223" s="7" t="s">
        <v>10901</v>
      </c>
      <c r="B5223" s="8" t="s">
        <v>10902</v>
      </c>
      <c r="C5223" s="8" t="s">
        <v>5942</v>
      </c>
      <c r="D5223" s="8" t="str">
        <f>"9783662647387"</f>
        <v>9783662647387</v>
      </c>
    </row>
    <row r="5224" spans="1:4" x14ac:dyDescent="0.25">
      <c r="A5224" s="7" t="s">
        <v>6096</v>
      </c>
      <c r="B5224" s="8" t="s">
        <v>6097</v>
      </c>
      <c r="C5224" s="8" t="s">
        <v>5086</v>
      </c>
      <c r="D5224" s="8" t="str">
        <f>"9783658144395"</f>
        <v>9783658144395</v>
      </c>
    </row>
    <row r="5225" spans="1:4" ht="30" x14ac:dyDescent="0.25">
      <c r="A5225" s="7" t="s">
        <v>2708</v>
      </c>
      <c r="B5225" s="8" t="s">
        <v>2356</v>
      </c>
      <c r="C5225" s="8" t="s">
        <v>1345</v>
      </c>
      <c r="D5225" s="8" t="str">
        <f>"9783737601610"</f>
        <v>9783737601610</v>
      </c>
    </row>
    <row r="5226" spans="1:4" ht="30" x14ac:dyDescent="0.25">
      <c r="A5226" s="7" t="s">
        <v>7066</v>
      </c>
      <c r="B5226" s="8" t="s">
        <v>7067</v>
      </c>
      <c r="C5226" s="8" t="s">
        <v>355</v>
      </c>
      <c r="D5226" s="8" t="str">
        <f>"9783110669367"</f>
        <v>9783110669367</v>
      </c>
    </row>
    <row r="5227" spans="1:4" x14ac:dyDescent="0.25">
      <c r="A5227" s="7" t="s">
        <v>9688</v>
      </c>
      <c r="B5227" s="8" t="s">
        <v>9689</v>
      </c>
      <c r="C5227" s="8" t="s">
        <v>993</v>
      </c>
      <c r="D5227" s="8" t="str">
        <f>"9783839401583"</f>
        <v>9783839401583</v>
      </c>
    </row>
    <row r="5228" spans="1:4" x14ac:dyDescent="0.25">
      <c r="A5228" s="7" t="s">
        <v>2355</v>
      </c>
      <c r="B5228" s="8" t="s">
        <v>2356</v>
      </c>
      <c r="C5228" s="8" t="s">
        <v>1345</v>
      </c>
      <c r="D5228" s="8" t="str">
        <f>"9783737600170"</f>
        <v>9783737600170</v>
      </c>
    </row>
    <row r="5229" spans="1:4" ht="30" x14ac:dyDescent="0.25">
      <c r="A5229" s="7" t="s">
        <v>3307</v>
      </c>
      <c r="B5229" s="8" t="s">
        <v>2356</v>
      </c>
      <c r="C5229" s="8" t="s">
        <v>1345</v>
      </c>
      <c r="D5229" s="8" t="str">
        <f>"9783737603713"</f>
        <v>9783737603713</v>
      </c>
    </row>
    <row r="5230" spans="1:4" ht="30" x14ac:dyDescent="0.25">
      <c r="A5230" s="7" t="s">
        <v>4649</v>
      </c>
      <c r="B5230" s="8" t="s">
        <v>4650</v>
      </c>
      <c r="C5230" s="8" t="s">
        <v>1345</v>
      </c>
      <c r="D5230" s="8" t="str">
        <f>"9783737607537"</f>
        <v>9783737607537</v>
      </c>
    </row>
    <row r="5231" spans="1:4" ht="30" x14ac:dyDescent="0.25">
      <c r="A5231" s="7" t="s">
        <v>7053</v>
      </c>
      <c r="B5231" s="8" t="s">
        <v>7054</v>
      </c>
      <c r="C5231" s="8" t="s">
        <v>355</v>
      </c>
      <c r="D5231" s="8" t="str">
        <f>"9783110689402"</f>
        <v>9783110689402</v>
      </c>
    </row>
    <row r="5232" spans="1:4" x14ac:dyDescent="0.25">
      <c r="A5232" s="7" t="s">
        <v>3497</v>
      </c>
      <c r="B5232" s="8" t="s">
        <v>3498</v>
      </c>
      <c r="C5232" s="8" t="s">
        <v>1865</v>
      </c>
      <c r="D5232" s="8" t="str">
        <f>"9789176855706"</f>
        <v>9789176855706</v>
      </c>
    </row>
    <row r="5233" spans="1:4" x14ac:dyDescent="0.25">
      <c r="A5233" s="7" t="s">
        <v>5838</v>
      </c>
      <c r="B5233" s="8" t="s">
        <v>5839</v>
      </c>
      <c r="C5233" s="8" t="s">
        <v>4245</v>
      </c>
      <c r="D5233" s="8" t="str">
        <f>"9789811076176"</f>
        <v>9789811076176</v>
      </c>
    </row>
    <row r="5234" spans="1:4" ht="30" x14ac:dyDescent="0.25">
      <c r="A5234" s="7" t="s">
        <v>1377</v>
      </c>
      <c r="B5234" s="8" t="s">
        <v>1378</v>
      </c>
      <c r="C5234" s="8" t="s">
        <v>1345</v>
      </c>
      <c r="D5234" s="8" t="str">
        <f>"9783862190676"</f>
        <v>9783862190676</v>
      </c>
    </row>
    <row r="5235" spans="1:4" x14ac:dyDescent="0.25">
      <c r="A5235" s="7" t="s">
        <v>2915</v>
      </c>
      <c r="B5235" s="8" t="s">
        <v>2916</v>
      </c>
      <c r="C5235" s="8" t="s">
        <v>1865</v>
      </c>
      <c r="D5235" s="8" t="str">
        <f>"9789176856390"</f>
        <v>9789176856390</v>
      </c>
    </row>
    <row r="5236" spans="1:4" x14ac:dyDescent="0.25">
      <c r="A5236" s="7" t="s">
        <v>16288</v>
      </c>
      <c r="B5236" s="8" t="s">
        <v>16289</v>
      </c>
      <c r="C5236" s="8" t="s">
        <v>1865</v>
      </c>
      <c r="D5236" s="8" t="str">
        <f>"9789176859766"</f>
        <v>9789176859766</v>
      </c>
    </row>
    <row r="5237" spans="1:4" x14ac:dyDescent="0.25">
      <c r="A5237" s="7" t="s">
        <v>1766</v>
      </c>
      <c r="B5237" s="8" t="s">
        <v>1767</v>
      </c>
      <c r="C5237" s="8" t="s">
        <v>1345</v>
      </c>
      <c r="D5237" s="8" t="str">
        <f>"9783862197279"</f>
        <v>9783862197279</v>
      </c>
    </row>
    <row r="5238" spans="1:4" ht="30" x14ac:dyDescent="0.25">
      <c r="A5238" s="7" t="s">
        <v>6687</v>
      </c>
      <c r="B5238" s="8" t="s">
        <v>6688</v>
      </c>
      <c r="C5238" s="8" t="s">
        <v>2273</v>
      </c>
      <c r="D5238" s="8" t="str">
        <f>"9783030666583"</f>
        <v>9783030666583</v>
      </c>
    </row>
    <row r="5239" spans="1:4" x14ac:dyDescent="0.25">
      <c r="A5239" s="7" t="s">
        <v>14092</v>
      </c>
      <c r="B5239" s="8" t="s">
        <v>14093</v>
      </c>
      <c r="C5239" s="8" t="s">
        <v>993</v>
      </c>
      <c r="D5239" s="8" t="str">
        <f>"9783839464663"</f>
        <v>9783839464663</v>
      </c>
    </row>
    <row r="5240" spans="1:4" x14ac:dyDescent="0.25">
      <c r="A5240" s="7" t="s">
        <v>11683</v>
      </c>
      <c r="B5240" s="8" t="s">
        <v>11684</v>
      </c>
      <c r="C5240" s="8" t="s">
        <v>355</v>
      </c>
      <c r="D5240" s="8" t="str">
        <f>"9783110731347"</f>
        <v>9783110731347</v>
      </c>
    </row>
    <row r="5241" spans="1:4" x14ac:dyDescent="0.25">
      <c r="A5241" s="7" t="s">
        <v>9630</v>
      </c>
      <c r="B5241" s="8" t="s">
        <v>9631</v>
      </c>
      <c r="C5241" s="8" t="s">
        <v>2273</v>
      </c>
      <c r="D5241" s="8" t="str">
        <f>"9783030920807"</f>
        <v>9783030920807</v>
      </c>
    </row>
    <row r="5242" spans="1:4" x14ac:dyDescent="0.25">
      <c r="A5242" s="7" t="s">
        <v>8134</v>
      </c>
      <c r="B5242" s="8" t="s">
        <v>8135</v>
      </c>
      <c r="C5242" s="8" t="s">
        <v>993</v>
      </c>
      <c r="D5242" s="8" t="str">
        <f>"9783839453452"</f>
        <v>9783839453452</v>
      </c>
    </row>
    <row r="5243" spans="1:4" x14ac:dyDescent="0.25">
      <c r="A5243" s="7" t="s">
        <v>8988</v>
      </c>
      <c r="B5243" s="8" t="s">
        <v>8989</v>
      </c>
      <c r="C5243" s="8" t="s">
        <v>5942</v>
      </c>
      <c r="D5243" s="8" t="str">
        <f>"9783662646335"</f>
        <v>9783662646335</v>
      </c>
    </row>
    <row r="5244" spans="1:4" x14ac:dyDescent="0.25">
      <c r="A5244" s="7" t="s">
        <v>10378</v>
      </c>
      <c r="B5244" s="8" t="s">
        <v>10379</v>
      </c>
      <c r="C5244" s="8" t="s">
        <v>993</v>
      </c>
      <c r="D5244" s="8" t="str">
        <f>"9783839454152"</f>
        <v>9783839454152</v>
      </c>
    </row>
    <row r="5245" spans="1:4" ht="30" x14ac:dyDescent="0.25">
      <c r="A5245" s="7" t="s">
        <v>8379</v>
      </c>
      <c r="B5245" s="8" t="s">
        <v>8380</v>
      </c>
      <c r="C5245" s="8" t="s">
        <v>993</v>
      </c>
      <c r="D5245" s="8" t="str">
        <f>"9783839447802"</f>
        <v>9783839447802</v>
      </c>
    </row>
    <row r="5246" spans="1:4" ht="45" x14ac:dyDescent="0.25">
      <c r="A5246" s="7" t="s">
        <v>12416</v>
      </c>
      <c r="B5246" s="8" t="s">
        <v>12417</v>
      </c>
      <c r="C5246" s="8" t="s">
        <v>355</v>
      </c>
      <c r="D5246" s="8" t="str">
        <f>"9783110764420"</f>
        <v>9783110764420</v>
      </c>
    </row>
    <row r="5247" spans="1:4" ht="30" x14ac:dyDescent="0.25">
      <c r="A5247" s="7" t="s">
        <v>9390</v>
      </c>
      <c r="B5247" s="8" t="s">
        <v>9391</v>
      </c>
      <c r="C5247" s="8" t="s">
        <v>9256</v>
      </c>
      <c r="D5247" s="8" t="str">
        <f>"9788021097308"</f>
        <v>9788021097308</v>
      </c>
    </row>
    <row r="5248" spans="1:4" x14ac:dyDescent="0.25">
      <c r="A5248" s="7" t="s">
        <v>8656</v>
      </c>
      <c r="B5248" s="8" t="s">
        <v>8657</v>
      </c>
      <c r="C5248" s="8" t="s">
        <v>1342</v>
      </c>
      <c r="D5248" s="8" t="str">
        <f>"9789633863664"</f>
        <v>9789633863664</v>
      </c>
    </row>
    <row r="5249" spans="1:4" x14ac:dyDescent="0.25">
      <c r="A5249" s="7" t="s">
        <v>10335</v>
      </c>
      <c r="B5249" s="8" t="s">
        <v>7703</v>
      </c>
      <c r="C5249" s="8" t="s">
        <v>993</v>
      </c>
      <c r="D5249" s="8" t="str">
        <f>"9783839449134"</f>
        <v>9783839449134</v>
      </c>
    </row>
    <row r="5250" spans="1:4" ht="30" x14ac:dyDescent="0.25">
      <c r="A5250" s="7" t="s">
        <v>3075</v>
      </c>
      <c r="B5250" s="8" t="s">
        <v>3076</v>
      </c>
      <c r="C5250" s="8" t="s">
        <v>1865</v>
      </c>
      <c r="D5250" s="8" t="str">
        <f>"9789176855829"</f>
        <v>9789176855829</v>
      </c>
    </row>
    <row r="5251" spans="1:4" x14ac:dyDescent="0.25">
      <c r="A5251" s="7" t="s">
        <v>8835</v>
      </c>
      <c r="B5251" s="8" t="s">
        <v>8836</v>
      </c>
      <c r="C5251" s="8" t="s">
        <v>8805</v>
      </c>
      <c r="D5251" s="8" t="str">
        <f>"9781934831137"</f>
        <v>9781934831137</v>
      </c>
    </row>
    <row r="5252" spans="1:4" ht="30" x14ac:dyDescent="0.25">
      <c r="A5252" s="7" t="s">
        <v>8166</v>
      </c>
      <c r="B5252" s="8" t="s">
        <v>8167</v>
      </c>
      <c r="C5252" s="8" t="s">
        <v>993</v>
      </c>
      <c r="D5252" s="8" t="str">
        <f>"9783839453216"</f>
        <v>9783839453216</v>
      </c>
    </row>
    <row r="5253" spans="1:4" ht="30" x14ac:dyDescent="0.25">
      <c r="A5253" s="7" t="s">
        <v>796</v>
      </c>
      <c r="B5253" s="8" t="s">
        <v>797</v>
      </c>
      <c r="C5253" s="8" t="s">
        <v>355</v>
      </c>
      <c r="D5253" s="8" t="str">
        <f>"9783486989267"</f>
        <v>9783486989267</v>
      </c>
    </row>
    <row r="5254" spans="1:4" x14ac:dyDescent="0.25">
      <c r="A5254" s="7" t="s">
        <v>12981</v>
      </c>
      <c r="B5254" s="8" t="s">
        <v>12982</v>
      </c>
      <c r="C5254" s="8" t="s">
        <v>12712</v>
      </c>
      <c r="D5254" s="8" t="str">
        <f>"9783428460779"</f>
        <v>9783428460779</v>
      </c>
    </row>
    <row r="5255" spans="1:4" ht="30" x14ac:dyDescent="0.25">
      <c r="A5255" s="7" t="s">
        <v>15428</v>
      </c>
      <c r="B5255" s="8" t="s">
        <v>15429</v>
      </c>
      <c r="C5255" s="8" t="s">
        <v>1865</v>
      </c>
      <c r="D5255" s="8" t="str">
        <f>"9789185831517"</f>
        <v>9789185831517</v>
      </c>
    </row>
    <row r="5256" spans="1:4" x14ac:dyDescent="0.25">
      <c r="A5256" s="7" t="s">
        <v>12456</v>
      </c>
      <c r="B5256" s="8" t="s">
        <v>12457</v>
      </c>
      <c r="C5256" s="8" t="s">
        <v>355</v>
      </c>
      <c r="D5256" s="8" t="str">
        <f>"9783110729740"</f>
        <v>9783110729740</v>
      </c>
    </row>
    <row r="5257" spans="1:4" ht="30" x14ac:dyDescent="0.25">
      <c r="A5257" s="7" t="s">
        <v>11929</v>
      </c>
      <c r="B5257" s="8" t="s">
        <v>7250</v>
      </c>
      <c r="C5257" s="8" t="s">
        <v>355</v>
      </c>
      <c r="D5257" s="8" t="str">
        <f>"9783110729290"</f>
        <v>9783110729290</v>
      </c>
    </row>
    <row r="5258" spans="1:4" ht="30" x14ac:dyDescent="0.25">
      <c r="A5258" s="7" t="s">
        <v>9948</v>
      </c>
      <c r="B5258" s="8" t="s">
        <v>9949</v>
      </c>
      <c r="C5258" s="8" t="s">
        <v>993</v>
      </c>
      <c r="D5258" s="8" t="str">
        <f>"9783839408544"</f>
        <v>9783839408544</v>
      </c>
    </row>
    <row r="5259" spans="1:4" x14ac:dyDescent="0.25">
      <c r="A5259" s="7" t="s">
        <v>574</v>
      </c>
      <c r="B5259" s="8" t="s">
        <v>575</v>
      </c>
      <c r="C5259" s="8" t="s">
        <v>562</v>
      </c>
      <c r="D5259" s="8" t="str">
        <f>"9780822388876"</f>
        <v>9780822388876</v>
      </c>
    </row>
    <row r="5260" spans="1:4" x14ac:dyDescent="0.25">
      <c r="A5260" s="7" t="s">
        <v>14746</v>
      </c>
      <c r="B5260" s="8"/>
      <c r="C5260" s="8"/>
      <c r="D5260" s="8"/>
    </row>
    <row r="5261" spans="1:4" x14ac:dyDescent="0.25">
      <c r="A5261" s="7" t="s">
        <v>11824</v>
      </c>
      <c r="B5261" s="8" t="s">
        <v>11825</v>
      </c>
      <c r="C5261" s="8" t="s">
        <v>355</v>
      </c>
      <c r="D5261" s="8" t="str">
        <f>"9783035620801"</f>
        <v>9783035620801</v>
      </c>
    </row>
    <row r="5262" spans="1:4" ht="45" x14ac:dyDescent="0.25">
      <c r="A5262" s="7" t="s">
        <v>5625</v>
      </c>
      <c r="B5262" s="8" t="s">
        <v>5626</v>
      </c>
      <c r="C5262" s="8" t="s">
        <v>5107</v>
      </c>
      <c r="D5262" s="8" t="str">
        <f>"9784431543947"</f>
        <v>9784431543947</v>
      </c>
    </row>
    <row r="5263" spans="1:4" ht="30" x14ac:dyDescent="0.25">
      <c r="A5263" s="7" t="s">
        <v>14177</v>
      </c>
      <c r="B5263" s="8" t="s">
        <v>14178</v>
      </c>
      <c r="C5263" s="8" t="s">
        <v>9256</v>
      </c>
      <c r="D5263" s="8" t="str">
        <f>"9788021096592"</f>
        <v>9788021096592</v>
      </c>
    </row>
    <row r="5264" spans="1:4" x14ac:dyDescent="0.25">
      <c r="A5264" s="7" t="s">
        <v>5455</v>
      </c>
      <c r="B5264" s="8" t="s">
        <v>5456</v>
      </c>
      <c r="C5264" s="8" t="s">
        <v>5064</v>
      </c>
      <c r="D5264" s="8" t="str">
        <f>"9789813236035"</f>
        <v>9789813236035</v>
      </c>
    </row>
    <row r="5265" spans="1:4" ht="30" x14ac:dyDescent="0.25">
      <c r="A5265" s="7" t="s">
        <v>5914</v>
      </c>
      <c r="B5265" s="8" t="s">
        <v>5915</v>
      </c>
      <c r="C5265" s="8" t="s">
        <v>2273</v>
      </c>
      <c r="D5265" s="8" t="str">
        <f>"9783319560915"</f>
        <v>9783319560915</v>
      </c>
    </row>
    <row r="5266" spans="1:4" x14ac:dyDescent="0.25">
      <c r="A5266" s="7" t="s">
        <v>1465</v>
      </c>
      <c r="B5266" s="8" t="s">
        <v>1466</v>
      </c>
      <c r="C5266" s="8" t="s">
        <v>1345</v>
      </c>
      <c r="D5266" s="8" t="str">
        <f>"9783862192298"</f>
        <v>9783862192298</v>
      </c>
    </row>
    <row r="5267" spans="1:4" x14ac:dyDescent="0.25">
      <c r="A5267" s="7" t="s">
        <v>4437</v>
      </c>
      <c r="B5267" s="8" t="s">
        <v>4438</v>
      </c>
      <c r="C5267" s="8" t="s">
        <v>1345</v>
      </c>
      <c r="D5267" s="8" t="str">
        <f>"9783737605991"</f>
        <v>9783737605991</v>
      </c>
    </row>
    <row r="5268" spans="1:4" ht="30" x14ac:dyDescent="0.25">
      <c r="A5268" s="7" t="s">
        <v>1663</v>
      </c>
      <c r="B5268" s="8" t="s">
        <v>1664</v>
      </c>
      <c r="C5268" s="8" t="s">
        <v>1345</v>
      </c>
      <c r="D5268" s="8" t="str">
        <f>"9783862194711"</f>
        <v>9783862194711</v>
      </c>
    </row>
    <row r="5269" spans="1:4" x14ac:dyDescent="0.25">
      <c r="A5269" s="7" t="s">
        <v>12527</v>
      </c>
      <c r="B5269" s="8" t="s">
        <v>12528</v>
      </c>
      <c r="C5269" s="8" t="s">
        <v>355</v>
      </c>
      <c r="D5269" s="8" t="str">
        <f>"9783110732009"</f>
        <v>9783110732009</v>
      </c>
    </row>
    <row r="5270" spans="1:4" ht="30" x14ac:dyDescent="0.25">
      <c r="A5270" s="7" t="s">
        <v>11714</v>
      </c>
      <c r="B5270" s="8" t="s">
        <v>11715</v>
      </c>
      <c r="C5270" s="8" t="s">
        <v>355</v>
      </c>
      <c r="D5270" s="8" t="str">
        <f>"9783110623543"</f>
        <v>9783110623543</v>
      </c>
    </row>
    <row r="5271" spans="1:4" ht="30" x14ac:dyDescent="0.25">
      <c r="A5271" s="7" t="s">
        <v>2486</v>
      </c>
      <c r="B5271" s="8" t="s">
        <v>2487</v>
      </c>
      <c r="C5271" s="8" t="s">
        <v>1865</v>
      </c>
      <c r="D5271" s="8" t="str">
        <f>"9789176859599"</f>
        <v>9789176859599</v>
      </c>
    </row>
    <row r="5272" spans="1:4" ht="30" x14ac:dyDescent="0.25">
      <c r="A5272" s="7" t="s">
        <v>2842</v>
      </c>
      <c r="B5272" s="8" t="s">
        <v>2843</v>
      </c>
      <c r="C5272" s="8" t="s">
        <v>1865</v>
      </c>
      <c r="D5272" s="8" t="str">
        <f>"9789176857472"</f>
        <v>9789176857472</v>
      </c>
    </row>
    <row r="5273" spans="1:4" ht="30" x14ac:dyDescent="0.25">
      <c r="A5273" s="7" t="s">
        <v>16147</v>
      </c>
      <c r="B5273" s="8" t="s">
        <v>16148</v>
      </c>
      <c r="C5273" s="8" t="s">
        <v>1865</v>
      </c>
      <c r="D5273" s="8" t="str">
        <f>"9789176858394"</f>
        <v>9789176858394</v>
      </c>
    </row>
    <row r="5274" spans="1:4" x14ac:dyDescent="0.25">
      <c r="A5274" s="7" t="s">
        <v>3382</v>
      </c>
      <c r="B5274" s="8" t="s">
        <v>3383</v>
      </c>
      <c r="C5274" s="8" t="s">
        <v>1865</v>
      </c>
      <c r="D5274" s="8" t="str">
        <f>"9789176854556"</f>
        <v>9789176854556</v>
      </c>
    </row>
    <row r="5275" spans="1:4" x14ac:dyDescent="0.25">
      <c r="A5275" s="7" t="s">
        <v>9284</v>
      </c>
      <c r="B5275" s="8" t="s">
        <v>132</v>
      </c>
      <c r="C5275" s="8" t="s">
        <v>9256</v>
      </c>
      <c r="D5275" s="8" t="str">
        <f>"9788021092297"</f>
        <v>9788021092297</v>
      </c>
    </row>
    <row r="5276" spans="1:4" x14ac:dyDescent="0.25">
      <c r="A5276" s="7" t="s">
        <v>8047</v>
      </c>
      <c r="B5276" s="8" t="s">
        <v>8048</v>
      </c>
      <c r="C5276" s="8" t="s">
        <v>1879</v>
      </c>
      <c r="D5276" s="8" t="str">
        <f>"9781800642621"</f>
        <v>9781800642621</v>
      </c>
    </row>
    <row r="5277" spans="1:4" x14ac:dyDescent="0.25">
      <c r="A5277" s="7" t="s">
        <v>14972</v>
      </c>
      <c r="B5277" s="8" t="s">
        <v>14973</v>
      </c>
      <c r="C5277" s="8" t="s">
        <v>1865</v>
      </c>
      <c r="D5277" s="8" t="str">
        <f>"9789176855836"</f>
        <v>9789176855836</v>
      </c>
    </row>
    <row r="5278" spans="1:4" ht="30" x14ac:dyDescent="0.25">
      <c r="A5278" s="7" t="s">
        <v>7519</v>
      </c>
      <c r="B5278" s="8" t="s">
        <v>7520</v>
      </c>
      <c r="C5278" s="8" t="s">
        <v>993</v>
      </c>
      <c r="D5278" s="8" t="str">
        <f>"9783839444412"</f>
        <v>9783839444412</v>
      </c>
    </row>
    <row r="5279" spans="1:4" x14ac:dyDescent="0.25">
      <c r="A5279" s="7" t="s">
        <v>9783</v>
      </c>
      <c r="B5279" s="8" t="s">
        <v>9784</v>
      </c>
      <c r="C5279" s="8" t="s">
        <v>993</v>
      </c>
      <c r="D5279" s="8" t="str">
        <f>"9783839404638"</f>
        <v>9783839404638</v>
      </c>
    </row>
    <row r="5280" spans="1:4" ht="30" x14ac:dyDescent="0.25">
      <c r="A5280" s="7" t="s">
        <v>3301</v>
      </c>
      <c r="B5280" s="8" t="s">
        <v>3302</v>
      </c>
      <c r="C5280" s="8" t="s">
        <v>993</v>
      </c>
      <c r="D5280" s="8" t="str">
        <f>"9783839428962"</f>
        <v>9783839428962</v>
      </c>
    </row>
    <row r="5281" spans="1:4" x14ac:dyDescent="0.25">
      <c r="A5281" s="7" t="s">
        <v>2565</v>
      </c>
      <c r="B5281" s="8" t="s">
        <v>2566</v>
      </c>
      <c r="C5281" s="8" t="s">
        <v>562</v>
      </c>
      <c r="D5281" s="8" t="str">
        <f>"9780822374954"</f>
        <v>9780822374954</v>
      </c>
    </row>
    <row r="5282" spans="1:4" ht="30" x14ac:dyDescent="0.25">
      <c r="A5282" s="7" t="s">
        <v>4806</v>
      </c>
      <c r="B5282" s="8" t="s">
        <v>4807</v>
      </c>
      <c r="C5282" s="8" t="s">
        <v>1865</v>
      </c>
      <c r="D5282" s="8" t="str">
        <f>"9789179299705"</f>
        <v>9789179299705</v>
      </c>
    </row>
    <row r="5283" spans="1:4" x14ac:dyDescent="0.25">
      <c r="A5283" s="7" t="s">
        <v>8033</v>
      </c>
      <c r="B5283" s="8" t="s">
        <v>8034</v>
      </c>
      <c r="C5283" s="8" t="s">
        <v>2273</v>
      </c>
      <c r="D5283" s="8" t="str">
        <f>"9783030822088"</f>
        <v>9783030822088</v>
      </c>
    </row>
    <row r="5284" spans="1:4" ht="30" x14ac:dyDescent="0.25">
      <c r="A5284" s="7" t="s">
        <v>14364</v>
      </c>
      <c r="B5284" s="8" t="s">
        <v>4861</v>
      </c>
      <c r="C5284" s="8" t="s">
        <v>1879</v>
      </c>
      <c r="D5284" s="8" t="str">
        <f>"9781800647688"</f>
        <v>9781800647688</v>
      </c>
    </row>
    <row r="5285" spans="1:4" ht="30" x14ac:dyDescent="0.25">
      <c r="A5285" s="7" t="s">
        <v>14358</v>
      </c>
      <c r="B5285" s="8" t="s">
        <v>4861</v>
      </c>
      <c r="C5285" s="8" t="s">
        <v>1879</v>
      </c>
      <c r="D5285" s="8" t="str">
        <f>"9781800647718"</f>
        <v>9781800647718</v>
      </c>
    </row>
    <row r="5286" spans="1:4" x14ac:dyDescent="0.25">
      <c r="A5286" s="7" t="s">
        <v>9338</v>
      </c>
      <c r="B5286" s="8" t="s">
        <v>9339</v>
      </c>
      <c r="C5286" s="8" t="s">
        <v>9256</v>
      </c>
      <c r="D5286" s="8" t="str">
        <f>"9788021095731"</f>
        <v>9788021095731</v>
      </c>
    </row>
    <row r="5287" spans="1:4" x14ac:dyDescent="0.25">
      <c r="A5287" s="7" t="s">
        <v>9450</v>
      </c>
      <c r="B5287" s="8" t="s">
        <v>9451</v>
      </c>
      <c r="C5287" s="8" t="s">
        <v>9256</v>
      </c>
      <c r="D5287" s="8" t="str">
        <f>"9788021099746"</f>
        <v>9788021099746</v>
      </c>
    </row>
    <row r="5288" spans="1:4" x14ac:dyDescent="0.25">
      <c r="A5288" s="7" t="s">
        <v>14733</v>
      </c>
      <c r="B5288" s="8" t="s">
        <v>14734</v>
      </c>
      <c r="C5288" s="8" t="s">
        <v>1865</v>
      </c>
      <c r="D5288" s="8" t="str">
        <f>"9789175199399"</f>
        <v>9789175199399</v>
      </c>
    </row>
    <row r="5289" spans="1:4" x14ac:dyDescent="0.25">
      <c r="A5289" s="7" t="s">
        <v>14412</v>
      </c>
      <c r="B5289" s="8" t="s">
        <v>14413</v>
      </c>
      <c r="C5289" s="8" t="s">
        <v>1865</v>
      </c>
      <c r="D5289" s="8" t="str">
        <f>"9789179295172"</f>
        <v>9789179295172</v>
      </c>
    </row>
    <row r="5290" spans="1:4" x14ac:dyDescent="0.25">
      <c r="A5290" s="7" t="s">
        <v>16037</v>
      </c>
      <c r="B5290" s="8" t="s">
        <v>16038</v>
      </c>
      <c r="C5290" s="8" t="s">
        <v>1865</v>
      </c>
      <c r="D5290" s="8" t="str">
        <f>"9789175199405"</f>
        <v>9789175199405</v>
      </c>
    </row>
    <row r="5291" spans="1:4" ht="30" x14ac:dyDescent="0.25">
      <c r="A5291" s="7" t="s">
        <v>8752</v>
      </c>
      <c r="B5291" s="8" t="s">
        <v>8753</v>
      </c>
      <c r="C5291" s="8" t="s">
        <v>2273</v>
      </c>
      <c r="D5291" s="8" t="str">
        <f>"9783030834036"</f>
        <v>9783030834036</v>
      </c>
    </row>
    <row r="5292" spans="1:4" ht="30" x14ac:dyDescent="0.25">
      <c r="A5292" s="7" t="s">
        <v>2699</v>
      </c>
      <c r="B5292" s="8" t="s">
        <v>2700</v>
      </c>
      <c r="C5292" s="8" t="s">
        <v>1345</v>
      </c>
      <c r="D5292" s="8" t="str">
        <f>"9783737601757"</f>
        <v>9783737601757</v>
      </c>
    </row>
    <row r="5293" spans="1:4" ht="30" x14ac:dyDescent="0.25">
      <c r="A5293" s="7" t="s">
        <v>1373</v>
      </c>
      <c r="B5293" s="8" t="s">
        <v>1374</v>
      </c>
      <c r="C5293" s="8" t="s">
        <v>1345</v>
      </c>
      <c r="D5293" s="8" t="str">
        <f>"9783899587791"</f>
        <v>9783899587791</v>
      </c>
    </row>
    <row r="5294" spans="1:4" ht="30" x14ac:dyDescent="0.25">
      <c r="A5294" s="7" t="s">
        <v>7641</v>
      </c>
      <c r="B5294" s="8" t="s">
        <v>7642</v>
      </c>
      <c r="C5294" s="8" t="s">
        <v>993</v>
      </c>
      <c r="D5294" s="8" t="str">
        <f>"9783839424087"</f>
        <v>9783839424087</v>
      </c>
    </row>
    <row r="5295" spans="1:4" x14ac:dyDescent="0.25">
      <c r="A5295" s="7" t="s">
        <v>7712</v>
      </c>
      <c r="B5295" s="8" t="s">
        <v>7713</v>
      </c>
      <c r="C5295" s="8" t="s">
        <v>993</v>
      </c>
      <c r="D5295" s="8" t="str">
        <f>"9783839423646"</f>
        <v>9783839423646</v>
      </c>
    </row>
    <row r="5296" spans="1:4" x14ac:dyDescent="0.25">
      <c r="A5296" s="7" t="s">
        <v>12841</v>
      </c>
      <c r="B5296" s="8" t="s">
        <v>12842</v>
      </c>
      <c r="C5296" s="8" t="s">
        <v>12712</v>
      </c>
      <c r="D5296" s="8" t="str">
        <f>"9783428434633"</f>
        <v>9783428434633</v>
      </c>
    </row>
    <row r="5297" spans="1:4" ht="30" x14ac:dyDescent="0.25">
      <c r="A5297" s="7" t="s">
        <v>3133</v>
      </c>
      <c r="B5297" s="8" t="s">
        <v>3134</v>
      </c>
      <c r="C5297" s="8" t="s">
        <v>1345</v>
      </c>
      <c r="D5297" s="8" t="str">
        <f>"9783737602334"</f>
        <v>9783737602334</v>
      </c>
    </row>
    <row r="5298" spans="1:4" ht="30" x14ac:dyDescent="0.25">
      <c r="A5298" s="7" t="s">
        <v>13344</v>
      </c>
      <c r="B5298" s="8" t="s">
        <v>13276</v>
      </c>
      <c r="C5298" s="8" t="s">
        <v>12712</v>
      </c>
      <c r="D5298" s="8" t="str">
        <f>"9783428575039"</f>
        <v>9783428575039</v>
      </c>
    </row>
    <row r="5299" spans="1:4" ht="30" x14ac:dyDescent="0.25">
      <c r="A5299" s="7" t="s">
        <v>13345</v>
      </c>
      <c r="B5299" s="8" t="s">
        <v>13276</v>
      </c>
      <c r="C5299" s="8" t="s">
        <v>12712</v>
      </c>
      <c r="D5299" s="8" t="str">
        <f>"9783428575046"</f>
        <v>9783428575046</v>
      </c>
    </row>
    <row r="5300" spans="1:4" ht="30" x14ac:dyDescent="0.25">
      <c r="A5300" s="7" t="s">
        <v>13342</v>
      </c>
      <c r="B5300" s="8" t="s">
        <v>13276</v>
      </c>
      <c r="C5300" s="8" t="s">
        <v>12712</v>
      </c>
      <c r="D5300" s="8" t="str">
        <f>"9783428575015"</f>
        <v>9783428575015</v>
      </c>
    </row>
    <row r="5301" spans="1:4" ht="30" x14ac:dyDescent="0.25">
      <c r="A5301" s="7" t="s">
        <v>13343</v>
      </c>
      <c r="B5301" s="8" t="s">
        <v>13276</v>
      </c>
      <c r="C5301" s="8" t="s">
        <v>12712</v>
      </c>
      <c r="D5301" s="8" t="str">
        <f>"9783428575022"</f>
        <v>9783428575022</v>
      </c>
    </row>
    <row r="5302" spans="1:4" x14ac:dyDescent="0.25">
      <c r="A5302" s="7" t="s">
        <v>11727</v>
      </c>
      <c r="B5302" s="8" t="s">
        <v>11728</v>
      </c>
      <c r="C5302" s="8" t="s">
        <v>355</v>
      </c>
      <c r="D5302" s="8" t="str">
        <f>"9783486595789"</f>
        <v>9783486595789</v>
      </c>
    </row>
    <row r="5303" spans="1:4" ht="60" x14ac:dyDescent="0.25">
      <c r="A5303" s="7" t="s">
        <v>13181</v>
      </c>
      <c r="B5303" s="8" t="s">
        <v>13072</v>
      </c>
      <c r="C5303" s="8" t="s">
        <v>12712</v>
      </c>
      <c r="D5303" s="8" t="str">
        <f>"9783428573448"</f>
        <v>9783428573448</v>
      </c>
    </row>
    <row r="5304" spans="1:4" ht="45" x14ac:dyDescent="0.25">
      <c r="A5304" s="7" t="s">
        <v>13179</v>
      </c>
      <c r="B5304" s="8" t="s">
        <v>13072</v>
      </c>
      <c r="C5304" s="8" t="s">
        <v>12712</v>
      </c>
      <c r="D5304" s="8" t="str">
        <f>"9783428573417"</f>
        <v>9783428573417</v>
      </c>
    </row>
    <row r="5305" spans="1:4" ht="45" x14ac:dyDescent="0.25">
      <c r="A5305" s="7" t="s">
        <v>13180</v>
      </c>
      <c r="B5305" s="8" t="s">
        <v>13072</v>
      </c>
      <c r="C5305" s="8" t="s">
        <v>12712</v>
      </c>
      <c r="D5305" s="8" t="str">
        <f>"9783428573424"</f>
        <v>9783428573424</v>
      </c>
    </row>
    <row r="5306" spans="1:4" ht="45" x14ac:dyDescent="0.25">
      <c r="A5306" s="7" t="s">
        <v>13182</v>
      </c>
      <c r="B5306" s="8" t="s">
        <v>13072</v>
      </c>
      <c r="C5306" s="8" t="s">
        <v>12712</v>
      </c>
      <c r="D5306" s="8" t="str">
        <f>"9783428573431"</f>
        <v>9783428573431</v>
      </c>
    </row>
    <row r="5307" spans="1:4" x14ac:dyDescent="0.25">
      <c r="A5307" s="7" t="s">
        <v>12809</v>
      </c>
      <c r="B5307" s="8" t="s">
        <v>12810</v>
      </c>
      <c r="C5307" s="8" t="s">
        <v>12712</v>
      </c>
      <c r="D5307" s="8" t="str">
        <f>"9783428426485"</f>
        <v>9783428426485</v>
      </c>
    </row>
    <row r="5308" spans="1:4" ht="60" x14ac:dyDescent="0.25">
      <c r="A5308" s="7" t="s">
        <v>2911</v>
      </c>
      <c r="B5308" s="8" t="s">
        <v>2912</v>
      </c>
      <c r="C5308" s="8" t="s">
        <v>1345</v>
      </c>
      <c r="D5308" s="8" t="str">
        <f>"9783737601771"</f>
        <v>9783737601771</v>
      </c>
    </row>
    <row r="5309" spans="1:4" x14ac:dyDescent="0.25">
      <c r="A5309" s="7" t="s">
        <v>7499</v>
      </c>
      <c r="B5309" s="8" t="s">
        <v>7500</v>
      </c>
      <c r="C5309" s="8" t="s">
        <v>993</v>
      </c>
      <c r="D5309" s="8" t="str">
        <f>"9783839439623"</f>
        <v>9783839439623</v>
      </c>
    </row>
    <row r="5310" spans="1:4" ht="30" x14ac:dyDescent="0.25">
      <c r="A5310" s="7" t="s">
        <v>12884</v>
      </c>
      <c r="B5310" s="8" t="s">
        <v>12885</v>
      </c>
      <c r="C5310" s="8" t="s">
        <v>12712</v>
      </c>
      <c r="D5310" s="8" t="str">
        <f>"9783428442409"</f>
        <v>9783428442409</v>
      </c>
    </row>
    <row r="5311" spans="1:4" ht="30" x14ac:dyDescent="0.25">
      <c r="A5311" s="7" t="s">
        <v>11911</v>
      </c>
      <c r="B5311" s="8" t="s">
        <v>11164</v>
      </c>
      <c r="C5311" s="8" t="s">
        <v>355</v>
      </c>
      <c r="D5311" s="8" t="str">
        <f>"9783110720037"</f>
        <v>9783110720037</v>
      </c>
    </row>
    <row r="5312" spans="1:4" x14ac:dyDescent="0.25">
      <c r="A5312" s="7" t="s">
        <v>11163</v>
      </c>
      <c r="B5312" s="8" t="s">
        <v>11164</v>
      </c>
      <c r="C5312" s="8" t="s">
        <v>355</v>
      </c>
      <c r="D5312" s="8" t="str">
        <f>"9783110720051"</f>
        <v>9783110720051</v>
      </c>
    </row>
    <row r="5313" spans="1:4" x14ac:dyDescent="0.25">
      <c r="A5313" s="7" t="s">
        <v>11307</v>
      </c>
      <c r="B5313" s="8" t="s">
        <v>11292</v>
      </c>
      <c r="C5313" s="8" t="s">
        <v>355</v>
      </c>
      <c r="D5313" s="8" t="str">
        <f>"9783110622669"</f>
        <v>9783110622669</v>
      </c>
    </row>
    <row r="5314" spans="1:4" x14ac:dyDescent="0.25">
      <c r="A5314" s="7" t="s">
        <v>15149</v>
      </c>
      <c r="B5314" s="8" t="s">
        <v>15150</v>
      </c>
      <c r="C5314" s="8" t="s">
        <v>1865</v>
      </c>
      <c r="D5314" s="8" t="str">
        <f>"9789176856406"</f>
        <v>9789176856406</v>
      </c>
    </row>
    <row r="5315" spans="1:4" x14ac:dyDescent="0.25">
      <c r="A5315" s="7" t="s">
        <v>16351</v>
      </c>
      <c r="B5315" s="8" t="s">
        <v>16352</v>
      </c>
      <c r="C5315" s="8" t="s">
        <v>1865</v>
      </c>
      <c r="D5315" s="8" t="str">
        <f>"9789173939614"</f>
        <v>9789173939614</v>
      </c>
    </row>
    <row r="5316" spans="1:4" ht="30" x14ac:dyDescent="0.25">
      <c r="A5316" s="7" t="s">
        <v>14670</v>
      </c>
      <c r="B5316" s="8" t="s">
        <v>14671</v>
      </c>
      <c r="C5316" s="8" t="s">
        <v>1865</v>
      </c>
      <c r="D5316" s="8" t="str">
        <f>"9789179291594"</f>
        <v>9789179291594</v>
      </c>
    </row>
    <row r="5317" spans="1:4" ht="30" x14ac:dyDescent="0.25">
      <c r="A5317" s="7" t="s">
        <v>5185</v>
      </c>
      <c r="B5317" s="8" t="s">
        <v>5186</v>
      </c>
      <c r="C5317" s="8" t="s">
        <v>1865</v>
      </c>
      <c r="D5317" s="8" t="str">
        <f>"9789179297886"</f>
        <v>9789179297886</v>
      </c>
    </row>
    <row r="5318" spans="1:4" ht="30" x14ac:dyDescent="0.25">
      <c r="A5318" s="7" t="s">
        <v>14916</v>
      </c>
      <c r="B5318" s="8" t="s">
        <v>14917</v>
      </c>
      <c r="C5318" s="8" t="s">
        <v>1865</v>
      </c>
      <c r="D5318" s="8" t="str">
        <f>"9789176856833"</f>
        <v>9789176856833</v>
      </c>
    </row>
    <row r="5319" spans="1:4" ht="30" x14ac:dyDescent="0.25">
      <c r="A5319" s="7" t="s">
        <v>5564</v>
      </c>
      <c r="B5319" s="8" t="s">
        <v>5565</v>
      </c>
      <c r="C5319" s="8" t="s">
        <v>1865</v>
      </c>
      <c r="D5319" s="8" t="str">
        <f>"9789179297824"</f>
        <v>9789179297824</v>
      </c>
    </row>
    <row r="5320" spans="1:4" ht="30" x14ac:dyDescent="0.25">
      <c r="A5320" s="7" t="s">
        <v>4125</v>
      </c>
      <c r="B5320" s="8" t="s">
        <v>4126</v>
      </c>
      <c r="C5320" s="8" t="s">
        <v>1865</v>
      </c>
      <c r="D5320" s="8" t="str">
        <f>"9789176852279"</f>
        <v>9789176852279</v>
      </c>
    </row>
    <row r="5321" spans="1:4" x14ac:dyDescent="0.25">
      <c r="A5321" s="7" t="s">
        <v>3060</v>
      </c>
      <c r="B5321" s="8"/>
      <c r="C5321" s="8"/>
      <c r="D5321" s="8"/>
    </row>
    <row r="5322" spans="1:4" x14ac:dyDescent="0.25">
      <c r="A5322" s="7" t="s">
        <v>11023</v>
      </c>
      <c r="B5322" s="8" t="s">
        <v>11024</v>
      </c>
      <c r="C5322" s="8" t="s">
        <v>5086</v>
      </c>
      <c r="D5322" s="8" t="str">
        <f>"9783658378035"</f>
        <v>9783658378035</v>
      </c>
    </row>
    <row r="5323" spans="1:4" x14ac:dyDescent="0.25">
      <c r="A5323" s="7" t="s">
        <v>3267</v>
      </c>
      <c r="B5323" s="8" t="s">
        <v>3268</v>
      </c>
      <c r="C5323" s="8" t="s">
        <v>1865</v>
      </c>
      <c r="D5323" s="8" t="str">
        <f>"9789176854846"</f>
        <v>9789176854846</v>
      </c>
    </row>
    <row r="5324" spans="1:4" ht="30" x14ac:dyDescent="0.25">
      <c r="A5324" s="7" t="s">
        <v>15498</v>
      </c>
      <c r="B5324" s="8" t="s">
        <v>15499</v>
      </c>
      <c r="C5324" s="8" t="s">
        <v>1865</v>
      </c>
      <c r="D5324" s="8" t="str">
        <f>"9789175199849"</f>
        <v>9789175199849</v>
      </c>
    </row>
    <row r="5325" spans="1:4" ht="30" x14ac:dyDescent="0.25">
      <c r="A5325" s="7" t="s">
        <v>3731</v>
      </c>
      <c r="B5325" s="8" t="s">
        <v>3732</v>
      </c>
      <c r="C5325" s="8" t="s">
        <v>1865</v>
      </c>
      <c r="D5325" s="8" t="str">
        <f>"9789176854426"</f>
        <v>9789176854426</v>
      </c>
    </row>
    <row r="5326" spans="1:4" x14ac:dyDescent="0.25">
      <c r="A5326" s="7" t="s">
        <v>4352</v>
      </c>
      <c r="B5326" s="8"/>
      <c r="C5326" s="8"/>
      <c r="D5326" s="8"/>
    </row>
    <row r="5327" spans="1:4" x14ac:dyDescent="0.25">
      <c r="A5327" s="7" t="s">
        <v>14390</v>
      </c>
      <c r="B5327" s="8" t="s">
        <v>14391</v>
      </c>
      <c r="C5327" s="8" t="s">
        <v>1865</v>
      </c>
      <c r="D5327" s="8" t="str">
        <f>"9789179295295"</f>
        <v>9789179295295</v>
      </c>
    </row>
    <row r="5328" spans="1:4" x14ac:dyDescent="0.25">
      <c r="A5328" s="7" t="s">
        <v>10839</v>
      </c>
      <c r="B5328" s="8" t="s">
        <v>10840</v>
      </c>
      <c r="C5328" s="8" t="s">
        <v>2273</v>
      </c>
      <c r="D5328" s="8" t="str">
        <f>"9783030748869"</f>
        <v>9783030748869</v>
      </c>
    </row>
    <row r="5329" spans="1:4" x14ac:dyDescent="0.25">
      <c r="A5329" s="7" t="s">
        <v>7137</v>
      </c>
      <c r="B5329" s="8" t="s">
        <v>7138</v>
      </c>
      <c r="C5329" s="8" t="s">
        <v>355</v>
      </c>
      <c r="D5329" s="8" t="str">
        <f>"9783110626209"</f>
        <v>9783110626209</v>
      </c>
    </row>
    <row r="5330" spans="1:4" x14ac:dyDescent="0.25">
      <c r="A5330" s="7" t="s">
        <v>2856</v>
      </c>
      <c r="B5330" s="8" t="s">
        <v>2857</v>
      </c>
      <c r="C5330" s="8" t="s">
        <v>562</v>
      </c>
      <c r="D5330" s="8" t="str">
        <f>"9780822374305"</f>
        <v>9780822374305</v>
      </c>
    </row>
    <row r="5331" spans="1:4" x14ac:dyDescent="0.25">
      <c r="A5331" s="7" t="s">
        <v>8031</v>
      </c>
      <c r="B5331" s="8" t="s">
        <v>8032</v>
      </c>
      <c r="C5331" s="8" t="s">
        <v>1224</v>
      </c>
      <c r="D5331" s="8" t="str">
        <f>"9788394914912"</f>
        <v>9788394914912</v>
      </c>
    </row>
    <row r="5332" spans="1:4" ht="30" x14ac:dyDescent="0.25">
      <c r="A5332" s="7" t="s">
        <v>14779</v>
      </c>
      <c r="B5332" s="8" t="s">
        <v>4110</v>
      </c>
      <c r="C5332" s="8" t="s">
        <v>1865</v>
      </c>
      <c r="D5332" s="8" t="str">
        <f>"9789176857281"</f>
        <v>9789176857281</v>
      </c>
    </row>
    <row r="5333" spans="1:4" x14ac:dyDescent="0.25">
      <c r="A5333" s="7" t="s">
        <v>6243</v>
      </c>
      <c r="B5333" s="8" t="s">
        <v>6244</v>
      </c>
      <c r="C5333" s="8" t="s">
        <v>5228</v>
      </c>
      <c r="D5333" s="8" t="str">
        <f>"9781137506801"</f>
        <v>9781137506801</v>
      </c>
    </row>
    <row r="5334" spans="1:4" x14ac:dyDescent="0.25">
      <c r="A5334" s="7" t="s">
        <v>2549</v>
      </c>
      <c r="B5334" s="8" t="s">
        <v>2550</v>
      </c>
      <c r="C5334" s="8" t="s">
        <v>2073</v>
      </c>
      <c r="D5334" s="8" t="str">
        <f>"9781438458656"</f>
        <v>9781438458656</v>
      </c>
    </row>
    <row r="5335" spans="1:4" ht="30" x14ac:dyDescent="0.25">
      <c r="A5335" s="7" t="s">
        <v>5254</v>
      </c>
      <c r="B5335" s="8" t="s">
        <v>5255</v>
      </c>
      <c r="C5335" s="8" t="s">
        <v>2273</v>
      </c>
      <c r="D5335" s="8" t="str">
        <f>"9783319215693"</f>
        <v>9783319215693</v>
      </c>
    </row>
    <row r="5336" spans="1:4" x14ac:dyDescent="0.25">
      <c r="A5336" s="7" t="s">
        <v>6222</v>
      </c>
      <c r="B5336" s="8" t="s">
        <v>6223</v>
      </c>
      <c r="C5336" s="8" t="s">
        <v>4245</v>
      </c>
      <c r="D5336" s="8" t="str">
        <f>"9789811008863"</f>
        <v>9789811008863</v>
      </c>
    </row>
    <row r="5337" spans="1:4" x14ac:dyDescent="0.25">
      <c r="A5337" s="7" t="s">
        <v>5364</v>
      </c>
      <c r="B5337" s="8" t="s">
        <v>5365</v>
      </c>
      <c r="C5337" s="8" t="s">
        <v>5358</v>
      </c>
      <c r="D5337" s="8" t="str">
        <f>"9781789246063"</f>
        <v>9781789246063</v>
      </c>
    </row>
    <row r="5338" spans="1:4" x14ac:dyDescent="0.25">
      <c r="A5338" s="7" t="s">
        <v>11384</v>
      </c>
      <c r="B5338" s="8" t="s">
        <v>11385</v>
      </c>
      <c r="C5338" s="8" t="s">
        <v>355</v>
      </c>
      <c r="D5338" s="8" t="str">
        <f>"9783110679663"</f>
        <v>9783110679663</v>
      </c>
    </row>
    <row r="5339" spans="1:4" x14ac:dyDescent="0.25">
      <c r="A5339" s="7" t="s">
        <v>6457</v>
      </c>
      <c r="B5339" s="8" t="s">
        <v>6458</v>
      </c>
      <c r="C5339" s="8" t="s">
        <v>2273</v>
      </c>
      <c r="D5339" s="8" t="str">
        <f>"9783030486068"</f>
        <v>9783030486068</v>
      </c>
    </row>
    <row r="5340" spans="1:4" x14ac:dyDescent="0.25">
      <c r="A5340" s="7" t="s">
        <v>13457</v>
      </c>
      <c r="B5340" s="8" t="s">
        <v>13458</v>
      </c>
      <c r="C5340" s="8" t="s">
        <v>2273</v>
      </c>
      <c r="D5340" s="8" t="str">
        <f>"9783031138478"</f>
        <v>9783031138478</v>
      </c>
    </row>
    <row r="5341" spans="1:4" x14ac:dyDescent="0.25">
      <c r="A5341" s="7" t="s">
        <v>5325</v>
      </c>
      <c r="B5341" s="8" t="s">
        <v>5326</v>
      </c>
      <c r="C5341" s="8" t="s">
        <v>2273</v>
      </c>
      <c r="D5341" s="8" t="str">
        <f>"9783319413044"</f>
        <v>9783319413044</v>
      </c>
    </row>
    <row r="5342" spans="1:4" x14ac:dyDescent="0.25">
      <c r="A5342" s="7" t="s">
        <v>6758</v>
      </c>
      <c r="B5342" s="8" t="s">
        <v>225</v>
      </c>
      <c r="C5342" s="8" t="s">
        <v>1879</v>
      </c>
      <c r="D5342" s="8" t="str">
        <f>"9781800641662"</f>
        <v>9781800641662</v>
      </c>
    </row>
    <row r="5343" spans="1:4" x14ac:dyDescent="0.25">
      <c r="A5343" s="7" t="s">
        <v>11012</v>
      </c>
      <c r="B5343" s="8" t="s">
        <v>11013</v>
      </c>
      <c r="C5343" s="8" t="s">
        <v>2273</v>
      </c>
      <c r="D5343" s="8" t="str">
        <f>"9783030961800"</f>
        <v>9783030961800</v>
      </c>
    </row>
    <row r="5344" spans="1:4" x14ac:dyDescent="0.25">
      <c r="A5344" s="7" t="s">
        <v>1298</v>
      </c>
      <c r="B5344" s="8" t="s">
        <v>1299</v>
      </c>
      <c r="C5344" s="8" t="s">
        <v>1224</v>
      </c>
      <c r="D5344" s="8" t="str">
        <f>"9781618112682"</f>
        <v>9781618112682</v>
      </c>
    </row>
    <row r="5345" spans="1:4" x14ac:dyDescent="0.25">
      <c r="A5345" s="7" t="s">
        <v>14974</v>
      </c>
      <c r="B5345" s="8" t="s">
        <v>14975</v>
      </c>
      <c r="C5345" s="8" t="s">
        <v>1865</v>
      </c>
      <c r="D5345" s="8" t="str">
        <f>"9789176858431"</f>
        <v>9789176858431</v>
      </c>
    </row>
    <row r="5346" spans="1:4" x14ac:dyDescent="0.25">
      <c r="A5346" s="7" t="s">
        <v>988</v>
      </c>
      <c r="B5346" s="8" t="s">
        <v>989</v>
      </c>
      <c r="C5346" s="8" t="s">
        <v>329</v>
      </c>
      <c r="D5346" s="8" t="str">
        <f>"9789048519712"</f>
        <v>9789048519712</v>
      </c>
    </row>
    <row r="5347" spans="1:4" x14ac:dyDescent="0.25">
      <c r="A5347" s="7" t="s">
        <v>12243</v>
      </c>
      <c r="B5347" s="8" t="s">
        <v>12244</v>
      </c>
      <c r="C5347" s="8" t="s">
        <v>2273</v>
      </c>
      <c r="D5347" s="8" t="str">
        <f>"9783031055669"</f>
        <v>9783031055669</v>
      </c>
    </row>
    <row r="5348" spans="1:4" ht="30" x14ac:dyDescent="0.25">
      <c r="A5348" s="7" t="s">
        <v>1469</v>
      </c>
      <c r="B5348" s="8" t="s">
        <v>1470</v>
      </c>
      <c r="C5348" s="8" t="s">
        <v>1345</v>
      </c>
      <c r="D5348" s="8" t="str">
        <f>"9783862193813"</f>
        <v>9783862193813</v>
      </c>
    </row>
    <row r="5349" spans="1:4" x14ac:dyDescent="0.25">
      <c r="A5349" s="7" t="s">
        <v>15737</v>
      </c>
      <c r="B5349" s="8" t="s">
        <v>15738</v>
      </c>
      <c r="C5349" s="8" t="s">
        <v>1865</v>
      </c>
      <c r="D5349" s="8" t="str">
        <f>"9789175198392"</f>
        <v>9789175198392</v>
      </c>
    </row>
    <row r="5350" spans="1:4" x14ac:dyDescent="0.25">
      <c r="A5350" s="7" t="s">
        <v>6360</v>
      </c>
      <c r="B5350" s="8" t="s">
        <v>6361</v>
      </c>
      <c r="C5350" s="8" t="s">
        <v>2273</v>
      </c>
      <c r="D5350" s="8" t="str">
        <f>"9783030635053"</f>
        <v>9783030635053</v>
      </c>
    </row>
    <row r="5351" spans="1:4" ht="30" x14ac:dyDescent="0.25">
      <c r="A5351" s="7" t="s">
        <v>7829</v>
      </c>
      <c r="B5351" s="8" t="s">
        <v>7830</v>
      </c>
      <c r="C5351" s="8" t="s">
        <v>5086</v>
      </c>
      <c r="D5351" s="8" t="str">
        <f>"9783658348519"</f>
        <v>9783658348519</v>
      </c>
    </row>
    <row r="5352" spans="1:4" x14ac:dyDescent="0.25">
      <c r="A5352" s="7" t="s">
        <v>9930</v>
      </c>
      <c r="B5352" s="8" t="s">
        <v>9931</v>
      </c>
      <c r="C5352" s="8" t="s">
        <v>993</v>
      </c>
      <c r="D5352" s="8" t="str">
        <f>"9783839408285"</f>
        <v>9783839408285</v>
      </c>
    </row>
    <row r="5353" spans="1:4" ht="30" x14ac:dyDescent="0.25">
      <c r="A5353" s="7" t="s">
        <v>7503</v>
      </c>
      <c r="B5353" s="8" t="s">
        <v>7504</v>
      </c>
      <c r="C5353" s="8" t="s">
        <v>993</v>
      </c>
      <c r="D5353" s="8" t="str">
        <f>"9783839404072"</f>
        <v>9783839404072</v>
      </c>
    </row>
    <row r="5354" spans="1:4" x14ac:dyDescent="0.25">
      <c r="A5354" s="7" t="s">
        <v>10466</v>
      </c>
      <c r="B5354" s="8" t="s">
        <v>10467</v>
      </c>
      <c r="C5354" s="8" t="s">
        <v>993</v>
      </c>
      <c r="D5354" s="8" t="str">
        <f>"9783839457399"</f>
        <v>9783839457399</v>
      </c>
    </row>
    <row r="5355" spans="1:4" ht="30" x14ac:dyDescent="0.25">
      <c r="A5355" s="7" t="s">
        <v>15496</v>
      </c>
      <c r="B5355" s="8" t="s">
        <v>15497</v>
      </c>
      <c r="C5355" s="8" t="s">
        <v>1865</v>
      </c>
      <c r="D5355" s="8" t="str">
        <f>"9789175197098"</f>
        <v>9789175197098</v>
      </c>
    </row>
    <row r="5356" spans="1:4" x14ac:dyDescent="0.25">
      <c r="A5356" s="7" t="s">
        <v>5822</v>
      </c>
      <c r="B5356" s="8" t="s">
        <v>5823</v>
      </c>
      <c r="C5356" s="8" t="s">
        <v>4245</v>
      </c>
      <c r="D5356" s="8" t="str">
        <f>"9789811084881"</f>
        <v>9789811084881</v>
      </c>
    </row>
    <row r="5357" spans="1:4" x14ac:dyDescent="0.25">
      <c r="A5357" s="7" t="s">
        <v>13642</v>
      </c>
      <c r="B5357" s="8" t="s">
        <v>13643</v>
      </c>
      <c r="C5357" s="8" t="s">
        <v>5134</v>
      </c>
      <c r="D5357" s="8" t="str">
        <f>"9783662662038"</f>
        <v>9783662662038</v>
      </c>
    </row>
    <row r="5358" spans="1:4" x14ac:dyDescent="0.25">
      <c r="A5358" s="7" t="s">
        <v>5684</v>
      </c>
      <c r="B5358" s="8" t="s">
        <v>203</v>
      </c>
      <c r="C5358" s="8" t="s">
        <v>2273</v>
      </c>
      <c r="D5358" s="8" t="str">
        <f>"9783319038209"</f>
        <v>9783319038209</v>
      </c>
    </row>
    <row r="5359" spans="1:4" x14ac:dyDescent="0.25">
      <c r="A5359" s="7" t="s">
        <v>3887</v>
      </c>
      <c r="B5359" s="8" t="s">
        <v>3888</v>
      </c>
      <c r="C5359" s="8" t="s">
        <v>355</v>
      </c>
      <c r="D5359" s="8" t="str">
        <f>"9783486992526"</f>
        <v>9783486992526</v>
      </c>
    </row>
    <row r="5360" spans="1:4" ht="30" x14ac:dyDescent="0.25">
      <c r="A5360" s="7" t="s">
        <v>15842</v>
      </c>
      <c r="B5360" s="8" t="s">
        <v>4779</v>
      </c>
      <c r="C5360" s="8" t="s">
        <v>1865</v>
      </c>
      <c r="D5360" s="8" t="str">
        <f>"9789176855393"</f>
        <v>9789176855393</v>
      </c>
    </row>
    <row r="5361" spans="1:4" ht="30" x14ac:dyDescent="0.25">
      <c r="A5361" s="7" t="s">
        <v>5607</v>
      </c>
      <c r="B5361" s="8" t="s">
        <v>5609</v>
      </c>
      <c r="C5361" s="8" t="s">
        <v>5608</v>
      </c>
      <c r="D5361" s="8" t="str">
        <f>"9789462654198"</f>
        <v>9789462654198</v>
      </c>
    </row>
    <row r="5362" spans="1:4" ht="30" x14ac:dyDescent="0.25">
      <c r="A5362" s="7" t="s">
        <v>7920</v>
      </c>
      <c r="B5362" s="8" t="s">
        <v>7921</v>
      </c>
      <c r="C5362" s="8" t="s">
        <v>5608</v>
      </c>
      <c r="D5362" s="8" t="str">
        <f>"9789462654716"</f>
        <v>9789462654716</v>
      </c>
    </row>
    <row r="5363" spans="1:4" x14ac:dyDescent="0.25">
      <c r="A5363" s="7" t="s">
        <v>8908</v>
      </c>
      <c r="B5363" s="8" t="s">
        <v>8909</v>
      </c>
      <c r="C5363" s="8" t="s">
        <v>2273</v>
      </c>
      <c r="D5363" s="8" t="str">
        <f>"9783030835828"</f>
        <v>9783030835828</v>
      </c>
    </row>
    <row r="5364" spans="1:4" x14ac:dyDescent="0.25">
      <c r="A5364" s="7" t="s">
        <v>10809</v>
      </c>
      <c r="B5364" s="8" t="s">
        <v>10810</v>
      </c>
      <c r="C5364" s="8" t="s">
        <v>1876</v>
      </c>
      <c r="D5364" s="8" t="str">
        <f>"9781925495980"</f>
        <v>9781925495980</v>
      </c>
    </row>
    <row r="5365" spans="1:4" x14ac:dyDescent="0.25">
      <c r="A5365" s="7" t="s">
        <v>7143</v>
      </c>
      <c r="B5365" s="8" t="s">
        <v>102</v>
      </c>
      <c r="C5365" s="8" t="s">
        <v>355</v>
      </c>
      <c r="D5365" s="8" t="str">
        <f>"9783110619034"</f>
        <v>9783110619034</v>
      </c>
    </row>
    <row r="5366" spans="1:4" x14ac:dyDescent="0.25">
      <c r="A5366" s="7" t="s">
        <v>280</v>
      </c>
      <c r="B5366" s="8" t="s">
        <v>281</v>
      </c>
      <c r="C5366" s="8" t="s">
        <v>227</v>
      </c>
      <c r="D5366" s="8" t="str">
        <f>"9781847790538"</f>
        <v>9781847790538</v>
      </c>
    </row>
    <row r="5367" spans="1:4" x14ac:dyDescent="0.25">
      <c r="A5367" s="7" t="s">
        <v>4645</v>
      </c>
      <c r="B5367" s="8" t="s">
        <v>4646</v>
      </c>
      <c r="C5367" s="8" t="s">
        <v>1865</v>
      </c>
      <c r="D5367" s="8" t="str">
        <f>"9789176850381"</f>
        <v>9789176850381</v>
      </c>
    </row>
    <row r="5368" spans="1:4" x14ac:dyDescent="0.25">
      <c r="A5368" s="7" t="s">
        <v>7397</v>
      </c>
      <c r="B5368" s="8" t="s">
        <v>7398</v>
      </c>
      <c r="C5368" s="8" t="s">
        <v>1036</v>
      </c>
      <c r="D5368" s="8" t="str">
        <f>"9789027259585"</f>
        <v>9789027259585</v>
      </c>
    </row>
    <row r="5369" spans="1:4" x14ac:dyDescent="0.25">
      <c r="A5369" s="7" t="s">
        <v>8839</v>
      </c>
      <c r="B5369" s="8" t="s">
        <v>8840</v>
      </c>
      <c r="C5369" s="8" t="s">
        <v>8805</v>
      </c>
      <c r="D5369" s="8" t="str">
        <f>"9781934831021"</f>
        <v>9781934831021</v>
      </c>
    </row>
    <row r="5370" spans="1:4" x14ac:dyDescent="0.25">
      <c r="A5370" s="7" t="s">
        <v>4784</v>
      </c>
      <c r="B5370" s="8" t="s">
        <v>4785</v>
      </c>
      <c r="C5370" s="8" t="s">
        <v>1879</v>
      </c>
      <c r="D5370" s="8" t="str">
        <f>"9781783748655"</f>
        <v>9781783748655</v>
      </c>
    </row>
    <row r="5371" spans="1:4" x14ac:dyDescent="0.25">
      <c r="A5371" s="7" t="s">
        <v>4443</v>
      </c>
      <c r="B5371" s="8" t="s">
        <v>4444</v>
      </c>
      <c r="C5371" s="8" t="s">
        <v>1865</v>
      </c>
      <c r="D5371" s="8" t="str">
        <f>"9789176851067"</f>
        <v>9789176851067</v>
      </c>
    </row>
    <row r="5372" spans="1:4" x14ac:dyDescent="0.25">
      <c r="A5372" s="7" t="s">
        <v>3108</v>
      </c>
      <c r="B5372" s="8" t="s">
        <v>3109</v>
      </c>
      <c r="C5372" s="8" t="s">
        <v>1865</v>
      </c>
      <c r="D5372" s="8" t="str">
        <f>"9789176855638"</f>
        <v>9789176855638</v>
      </c>
    </row>
    <row r="5373" spans="1:4" ht="30" x14ac:dyDescent="0.25">
      <c r="A5373" s="7" t="s">
        <v>3921</v>
      </c>
      <c r="B5373" s="8" t="s">
        <v>3922</v>
      </c>
      <c r="C5373" s="8" t="s">
        <v>355</v>
      </c>
      <c r="D5373" s="8" t="str">
        <f>"9783110550443"</f>
        <v>9783110550443</v>
      </c>
    </row>
    <row r="5374" spans="1:4" ht="30" x14ac:dyDescent="0.25">
      <c r="A5374" s="7" t="s">
        <v>3921</v>
      </c>
      <c r="B5374" s="8" t="s">
        <v>3922</v>
      </c>
      <c r="C5374" s="8" t="s">
        <v>355</v>
      </c>
      <c r="D5374" s="8" t="str">
        <f>"9783110605914"</f>
        <v>9783110605914</v>
      </c>
    </row>
    <row r="5375" spans="1:4" ht="30" x14ac:dyDescent="0.25">
      <c r="A5375" s="7" t="s">
        <v>16331</v>
      </c>
      <c r="B5375" s="8" t="s">
        <v>16332</v>
      </c>
      <c r="C5375" s="8" t="s">
        <v>1865</v>
      </c>
      <c r="D5375" s="8" t="str">
        <f>"9789175197050"</f>
        <v>9789175197050</v>
      </c>
    </row>
    <row r="5376" spans="1:4" ht="30" x14ac:dyDescent="0.25">
      <c r="A5376" s="7" t="s">
        <v>4792</v>
      </c>
      <c r="B5376" s="8" t="s">
        <v>4793</v>
      </c>
      <c r="C5376" s="8" t="s">
        <v>1865</v>
      </c>
      <c r="D5376" s="8" t="str">
        <f>"9789179299422"</f>
        <v>9789179299422</v>
      </c>
    </row>
    <row r="5377" spans="1:4" x14ac:dyDescent="0.25">
      <c r="A5377" s="7" t="s">
        <v>14785</v>
      </c>
      <c r="B5377" s="8" t="s">
        <v>14786</v>
      </c>
      <c r="C5377" s="8" t="s">
        <v>1865</v>
      </c>
      <c r="D5377" s="8" t="str">
        <f>"9789176857687"</f>
        <v>9789176857687</v>
      </c>
    </row>
    <row r="5378" spans="1:4" x14ac:dyDescent="0.25">
      <c r="A5378" s="7" t="s">
        <v>12027</v>
      </c>
      <c r="B5378" s="8" t="s">
        <v>12028</v>
      </c>
      <c r="C5378" s="8" t="s">
        <v>355</v>
      </c>
      <c r="D5378" s="8" t="str">
        <f>"9783110614787"</f>
        <v>9783110614787</v>
      </c>
    </row>
    <row r="5379" spans="1:4" x14ac:dyDescent="0.25">
      <c r="A5379" s="7" t="s">
        <v>15812</v>
      </c>
      <c r="B5379" s="8" t="s">
        <v>15813</v>
      </c>
      <c r="C5379" s="8" t="s">
        <v>1865</v>
      </c>
      <c r="D5379" s="8" t="str">
        <f>"9789176854044"</f>
        <v>9789176854044</v>
      </c>
    </row>
    <row r="5380" spans="1:4" x14ac:dyDescent="0.25">
      <c r="A5380" s="7" t="s">
        <v>4467</v>
      </c>
      <c r="B5380" s="8" t="s">
        <v>4468</v>
      </c>
      <c r="C5380" s="8" t="s">
        <v>1865</v>
      </c>
      <c r="D5380" s="8" t="str">
        <f>"9789176851135"</f>
        <v>9789176851135</v>
      </c>
    </row>
    <row r="5381" spans="1:4" x14ac:dyDescent="0.25">
      <c r="A5381" s="7" t="s">
        <v>718</v>
      </c>
      <c r="B5381" s="8" t="s">
        <v>719</v>
      </c>
      <c r="C5381" s="8" t="s">
        <v>316</v>
      </c>
      <c r="D5381" s="8" t="str">
        <f>"9783110323306"</f>
        <v>9783110323306</v>
      </c>
    </row>
    <row r="5382" spans="1:4" x14ac:dyDescent="0.25">
      <c r="A5382" s="7" t="s">
        <v>14628</v>
      </c>
      <c r="B5382" s="8" t="s">
        <v>10644</v>
      </c>
      <c r="C5382" s="8" t="s">
        <v>1865</v>
      </c>
      <c r="D5382" s="8" t="str">
        <f>"9789179297602"</f>
        <v>9789179297602</v>
      </c>
    </row>
    <row r="5383" spans="1:4" x14ac:dyDescent="0.25">
      <c r="A5383" s="7" t="s">
        <v>12638</v>
      </c>
      <c r="B5383" s="8" t="s">
        <v>12639</v>
      </c>
      <c r="C5383" s="8" t="s">
        <v>2273</v>
      </c>
      <c r="D5383" s="8" t="str">
        <f>"9783031130717"</f>
        <v>9783031130717</v>
      </c>
    </row>
    <row r="5384" spans="1:4" x14ac:dyDescent="0.25">
      <c r="A5384" s="7" t="s">
        <v>6023</v>
      </c>
      <c r="B5384" s="8" t="s">
        <v>6024</v>
      </c>
      <c r="C5384" s="8" t="s">
        <v>2273</v>
      </c>
      <c r="D5384" s="8" t="str">
        <f>"9783319254609"</f>
        <v>9783319254609</v>
      </c>
    </row>
    <row r="5385" spans="1:4" ht="45" x14ac:dyDescent="0.25">
      <c r="A5385" s="7" t="s">
        <v>14156</v>
      </c>
      <c r="B5385" s="8" t="s">
        <v>14157</v>
      </c>
      <c r="C5385" s="8" t="s">
        <v>2273</v>
      </c>
      <c r="D5385" s="8" t="str">
        <f>"9783031170300"</f>
        <v>9783031170300</v>
      </c>
    </row>
    <row r="5386" spans="1:4" x14ac:dyDescent="0.25">
      <c r="A5386" s="7" t="s">
        <v>13491</v>
      </c>
      <c r="B5386" s="8" t="s">
        <v>13492</v>
      </c>
      <c r="C5386" s="8" t="s">
        <v>2273</v>
      </c>
      <c r="D5386" s="8" t="str">
        <f>"9783031051715"</f>
        <v>9783031051715</v>
      </c>
    </row>
    <row r="5387" spans="1:4" x14ac:dyDescent="0.25">
      <c r="A5387" s="7" t="s">
        <v>5748</v>
      </c>
      <c r="B5387" s="8" t="s">
        <v>5749</v>
      </c>
      <c r="C5387" s="8" t="s">
        <v>2273</v>
      </c>
      <c r="D5387" s="8" t="str">
        <f>"9783319730196"</f>
        <v>9783319730196</v>
      </c>
    </row>
    <row r="5388" spans="1:4" ht="30" x14ac:dyDescent="0.25">
      <c r="A5388" s="7" t="s">
        <v>12960</v>
      </c>
      <c r="B5388" s="8" t="s">
        <v>12961</v>
      </c>
      <c r="C5388" s="8" t="s">
        <v>12712</v>
      </c>
      <c r="D5388" s="8" t="str">
        <f>"9783428458431"</f>
        <v>9783428458431</v>
      </c>
    </row>
    <row r="5389" spans="1:4" ht="30" x14ac:dyDescent="0.25">
      <c r="A5389" s="7" t="s">
        <v>8284</v>
      </c>
      <c r="B5389" s="8" t="s">
        <v>8285</v>
      </c>
      <c r="C5389" s="8" t="s">
        <v>993</v>
      </c>
      <c r="D5389" s="8" t="str">
        <f>"9783839451700"</f>
        <v>9783839451700</v>
      </c>
    </row>
    <row r="5390" spans="1:4" ht="30" x14ac:dyDescent="0.25">
      <c r="A5390" s="7" t="s">
        <v>14098</v>
      </c>
      <c r="B5390" s="8" t="s">
        <v>14099</v>
      </c>
      <c r="C5390" s="8" t="s">
        <v>993</v>
      </c>
      <c r="D5390" s="8" t="str">
        <f>"9783839465592"</f>
        <v>9783839465592</v>
      </c>
    </row>
    <row r="5391" spans="1:4" ht="30" x14ac:dyDescent="0.25">
      <c r="A5391" s="7" t="s">
        <v>13390</v>
      </c>
      <c r="B5391" s="8" t="s">
        <v>13391</v>
      </c>
      <c r="C5391" s="8" t="s">
        <v>12712</v>
      </c>
      <c r="D5391" s="8" t="str">
        <f>"9783428586608"</f>
        <v>9783428586608</v>
      </c>
    </row>
    <row r="5392" spans="1:4" ht="30" x14ac:dyDescent="0.25">
      <c r="A5392" s="7" t="s">
        <v>10348</v>
      </c>
      <c r="B5392" s="8" t="s">
        <v>10349</v>
      </c>
      <c r="C5392" s="8" t="s">
        <v>993</v>
      </c>
      <c r="D5392" s="8" t="str">
        <f>"9783839449882"</f>
        <v>9783839449882</v>
      </c>
    </row>
    <row r="5393" spans="1:4" ht="30" x14ac:dyDescent="0.25">
      <c r="A5393" s="7" t="s">
        <v>7476</v>
      </c>
      <c r="B5393" s="8" t="s">
        <v>7477</v>
      </c>
      <c r="C5393" s="8" t="s">
        <v>993</v>
      </c>
      <c r="D5393" s="8" t="str">
        <f>"9783839430200"</f>
        <v>9783839430200</v>
      </c>
    </row>
    <row r="5394" spans="1:4" ht="45" x14ac:dyDescent="0.25">
      <c r="A5394" s="7" t="s">
        <v>7062</v>
      </c>
      <c r="B5394" s="8" t="s">
        <v>7063</v>
      </c>
      <c r="C5394" s="8" t="s">
        <v>355</v>
      </c>
      <c r="D5394" s="8" t="str">
        <f>"9783110629057"</f>
        <v>9783110629057</v>
      </c>
    </row>
    <row r="5395" spans="1:4" x14ac:dyDescent="0.25">
      <c r="A5395" s="7" t="s">
        <v>12948</v>
      </c>
      <c r="B5395" s="8" t="s">
        <v>12949</v>
      </c>
      <c r="C5395" s="8" t="s">
        <v>12712</v>
      </c>
      <c r="D5395" s="8" t="str">
        <f>"9783428456222"</f>
        <v>9783428456222</v>
      </c>
    </row>
    <row r="5396" spans="1:4" x14ac:dyDescent="0.25">
      <c r="A5396" s="7" t="s">
        <v>14707</v>
      </c>
      <c r="B5396" s="8" t="s">
        <v>14708</v>
      </c>
      <c r="C5396" s="8" t="s">
        <v>1865</v>
      </c>
      <c r="D5396" s="8" t="str">
        <f>"9789179293291"</f>
        <v>9789179293291</v>
      </c>
    </row>
    <row r="5397" spans="1:4" x14ac:dyDescent="0.25">
      <c r="A5397" s="7" t="s">
        <v>16151</v>
      </c>
      <c r="B5397" s="8" t="s">
        <v>16152</v>
      </c>
      <c r="C5397" s="8" t="s">
        <v>1865</v>
      </c>
      <c r="D5397" s="8" t="str">
        <f>"9789179295264"</f>
        <v>9789179295264</v>
      </c>
    </row>
    <row r="5398" spans="1:4" x14ac:dyDescent="0.25">
      <c r="A5398" s="7" t="s">
        <v>5623</v>
      </c>
      <c r="B5398" s="8" t="s">
        <v>5624</v>
      </c>
      <c r="C5398" s="8" t="s">
        <v>2273</v>
      </c>
      <c r="D5398" s="8" t="str">
        <f>"9783319397450"</f>
        <v>9783319397450</v>
      </c>
    </row>
    <row r="5399" spans="1:4" ht="30" x14ac:dyDescent="0.25">
      <c r="A5399" s="7" t="s">
        <v>6556</v>
      </c>
      <c r="B5399" s="8" t="s">
        <v>6557</v>
      </c>
      <c r="C5399" s="8" t="s">
        <v>2273</v>
      </c>
      <c r="D5399" s="8" t="str">
        <f>"9783030667887"</f>
        <v>9783030667887</v>
      </c>
    </row>
    <row r="5400" spans="1:4" x14ac:dyDescent="0.25">
      <c r="A5400" s="7" t="s">
        <v>11217</v>
      </c>
      <c r="B5400" s="8" t="s">
        <v>11218</v>
      </c>
      <c r="C5400" s="8" t="s">
        <v>355</v>
      </c>
      <c r="D5400" s="8" t="str">
        <f>"9783035622751"</f>
        <v>9783035622751</v>
      </c>
    </row>
    <row r="5401" spans="1:4" x14ac:dyDescent="0.25">
      <c r="A5401" s="7" t="s">
        <v>12464</v>
      </c>
      <c r="B5401" s="8" t="s">
        <v>12465</v>
      </c>
      <c r="C5401" s="8" t="s">
        <v>355</v>
      </c>
      <c r="D5401" s="8" t="str">
        <f>"9783110720921"</f>
        <v>9783110720921</v>
      </c>
    </row>
    <row r="5402" spans="1:4" x14ac:dyDescent="0.25">
      <c r="A5402" s="7" t="s">
        <v>2727</v>
      </c>
      <c r="B5402" s="8" t="s">
        <v>2728</v>
      </c>
      <c r="C5402" s="8" t="s">
        <v>1962</v>
      </c>
      <c r="D5402" s="8" t="str">
        <f>"9782759225699"</f>
        <v>9782759225699</v>
      </c>
    </row>
    <row r="5403" spans="1:4" x14ac:dyDescent="0.25">
      <c r="A5403" s="7" t="s">
        <v>11440</v>
      </c>
      <c r="B5403" s="8" t="s">
        <v>11441</v>
      </c>
      <c r="C5403" s="8" t="s">
        <v>355</v>
      </c>
      <c r="D5403" s="8" t="str">
        <f>"9783111689692"</f>
        <v>9783111689692</v>
      </c>
    </row>
    <row r="5404" spans="1:4" x14ac:dyDescent="0.25">
      <c r="A5404" s="7" t="s">
        <v>12421</v>
      </c>
      <c r="B5404" s="8" t="s">
        <v>12422</v>
      </c>
      <c r="C5404" s="8" t="s">
        <v>2273</v>
      </c>
      <c r="D5404" s="8" t="str">
        <f>"9783030991388"</f>
        <v>9783030991388</v>
      </c>
    </row>
    <row r="5405" spans="1:4" x14ac:dyDescent="0.25">
      <c r="A5405" s="7" t="s">
        <v>12701</v>
      </c>
      <c r="B5405" s="8" t="s">
        <v>12702</v>
      </c>
      <c r="C5405" s="8" t="s">
        <v>2273</v>
      </c>
      <c r="D5405" s="8" t="str">
        <f>"9783031134944"</f>
        <v>9783031134944</v>
      </c>
    </row>
    <row r="5406" spans="1:4" x14ac:dyDescent="0.25">
      <c r="A5406" s="7" t="s">
        <v>2763</v>
      </c>
      <c r="B5406" s="8" t="s">
        <v>2764</v>
      </c>
      <c r="C5406" s="8" t="s">
        <v>1865</v>
      </c>
      <c r="D5406" s="8" t="str">
        <f>"9789176856994"</f>
        <v>9789176856994</v>
      </c>
    </row>
    <row r="5407" spans="1:4" x14ac:dyDescent="0.25">
      <c r="A5407" s="7" t="s">
        <v>2725</v>
      </c>
      <c r="B5407" s="8" t="s">
        <v>2726</v>
      </c>
      <c r="C5407" s="8" t="s">
        <v>2168</v>
      </c>
      <c r="D5407" s="8" t="str">
        <f>"9780295806327"</f>
        <v>9780295806327</v>
      </c>
    </row>
    <row r="5408" spans="1:4" x14ac:dyDescent="0.25">
      <c r="A5408" s="7" t="s">
        <v>15211</v>
      </c>
      <c r="B5408" s="8" t="s">
        <v>15212</v>
      </c>
      <c r="C5408" s="8" t="s">
        <v>1865</v>
      </c>
      <c r="D5408" s="8" t="str">
        <f>"9789180750097"</f>
        <v>9789180750097</v>
      </c>
    </row>
    <row r="5409" spans="1:4" ht="30" x14ac:dyDescent="0.25">
      <c r="A5409" s="7" t="s">
        <v>14626</v>
      </c>
      <c r="B5409" s="8" t="s">
        <v>14627</v>
      </c>
      <c r="C5409" s="8" t="s">
        <v>1865</v>
      </c>
      <c r="D5409" s="8" t="str">
        <f>"9789179292621"</f>
        <v>9789179292621</v>
      </c>
    </row>
    <row r="5410" spans="1:4" x14ac:dyDescent="0.25">
      <c r="A5410" s="7" t="s">
        <v>3903</v>
      </c>
      <c r="B5410" s="8" t="s">
        <v>3904</v>
      </c>
      <c r="C5410" s="8" t="s">
        <v>355</v>
      </c>
      <c r="D5410" s="8" t="str">
        <f>"9783110449501"</f>
        <v>9783110449501</v>
      </c>
    </row>
    <row r="5411" spans="1:4" ht="30" x14ac:dyDescent="0.25">
      <c r="A5411" s="7" t="s">
        <v>7275</v>
      </c>
      <c r="B5411" s="8" t="s">
        <v>5884</v>
      </c>
      <c r="C5411" s="8" t="s">
        <v>4245</v>
      </c>
      <c r="D5411" s="8" t="str">
        <f>"9789813349926"</f>
        <v>9789813349926</v>
      </c>
    </row>
    <row r="5412" spans="1:4" x14ac:dyDescent="0.25">
      <c r="A5412" s="7" t="s">
        <v>16293</v>
      </c>
      <c r="B5412" s="8" t="s">
        <v>16294</v>
      </c>
      <c r="C5412" s="8" t="s">
        <v>1865</v>
      </c>
      <c r="D5412" s="8" t="str">
        <f>"9789175191874"</f>
        <v>9789175191874</v>
      </c>
    </row>
    <row r="5413" spans="1:4" x14ac:dyDescent="0.25">
      <c r="A5413" s="7" t="s">
        <v>834</v>
      </c>
      <c r="B5413" s="8" t="s">
        <v>835</v>
      </c>
      <c r="C5413" s="8" t="s">
        <v>316</v>
      </c>
      <c r="D5413" s="8" t="str">
        <f>"9783110363005"</f>
        <v>9783110363005</v>
      </c>
    </row>
    <row r="5414" spans="1:4" x14ac:dyDescent="0.25">
      <c r="A5414" s="7" t="s">
        <v>2913</v>
      </c>
      <c r="B5414" s="8" t="s">
        <v>2914</v>
      </c>
      <c r="C5414" s="8" t="s">
        <v>562</v>
      </c>
      <c r="D5414" s="8" t="str">
        <f>"9780822373759"</f>
        <v>9780822373759</v>
      </c>
    </row>
    <row r="5415" spans="1:4" x14ac:dyDescent="0.25">
      <c r="A5415" s="7" t="s">
        <v>12343</v>
      </c>
      <c r="B5415" s="8" t="s">
        <v>10034</v>
      </c>
      <c r="C5415" s="8" t="s">
        <v>993</v>
      </c>
      <c r="D5415" s="8" t="str">
        <f>"9783839462249"</f>
        <v>9783839462249</v>
      </c>
    </row>
    <row r="5416" spans="1:4" x14ac:dyDescent="0.25">
      <c r="A5416" s="7" t="s">
        <v>4701</v>
      </c>
      <c r="B5416" s="8" t="s">
        <v>4702</v>
      </c>
      <c r="C5416" s="8" t="s">
        <v>1865</v>
      </c>
      <c r="D5416" s="8" t="str">
        <f>"9789179299699"</f>
        <v>9789179299699</v>
      </c>
    </row>
    <row r="5417" spans="1:4" ht="30" x14ac:dyDescent="0.25">
      <c r="A5417" s="7" t="s">
        <v>6971</v>
      </c>
      <c r="B5417" s="8" t="s">
        <v>6972</v>
      </c>
      <c r="C5417" s="8" t="s">
        <v>5134</v>
      </c>
      <c r="D5417" s="8" t="str">
        <f>"9783662630211"</f>
        <v>9783662630211</v>
      </c>
    </row>
    <row r="5418" spans="1:4" ht="30" x14ac:dyDescent="0.25">
      <c r="A5418" s="7" t="s">
        <v>5801</v>
      </c>
      <c r="B5418" s="8" t="s">
        <v>5802</v>
      </c>
      <c r="C5418" s="8" t="s">
        <v>5107</v>
      </c>
      <c r="D5418" s="8" t="str">
        <f>"9784431551119"</f>
        <v>9784431551119</v>
      </c>
    </row>
    <row r="5419" spans="1:4" x14ac:dyDescent="0.25">
      <c r="A5419" s="7" t="s">
        <v>15541</v>
      </c>
      <c r="B5419" s="8" t="s">
        <v>15542</v>
      </c>
      <c r="C5419" s="8" t="s">
        <v>1865</v>
      </c>
      <c r="D5419" s="8" t="str">
        <f>"9789179295165"</f>
        <v>9789179295165</v>
      </c>
    </row>
    <row r="5420" spans="1:4" ht="30" x14ac:dyDescent="0.25">
      <c r="A5420" s="7" t="s">
        <v>15635</v>
      </c>
      <c r="B5420" s="8" t="s">
        <v>14824</v>
      </c>
      <c r="C5420" s="8" t="s">
        <v>1865</v>
      </c>
      <c r="D5420" s="8" t="str">
        <f>"9789175197067"</f>
        <v>9789175197067</v>
      </c>
    </row>
    <row r="5421" spans="1:4" x14ac:dyDescent="0.25">
      <c r="A5421" s="7" t="s">
        <v>5826</v>
      </c>
      <c r="B5421" s="8" t="s">
        <v>5827</v>
      </c>
      <c r="C5421" s="8" t="s">
        <v>2273</v>
      </c>
      <c r="D5421" s="8" t="str">
        <f>"9783319017549"</f>
        <v>9783319017549</v>
      </c>
    </row>
    <row r="5422" spans="1:4" ht="30" x14ac:dyDescent="0.25">
      <c r="A5422" s="7" t="s">
        <v>2864</v>
      </c>
      <c r="B5422" s="8" t="s">
        <v>2865</v>
      </c>
      <c r="C5422" s="8" t="s">
        <v>1865</v>
      </c>
      <c r="D5422" s="8" t="str">
        <f>"9789176856352"</f>
        <v>9789176856352</v>
      </c>
    </row>
    <row r="5423" spans="1:4" x14ac:dyDescent="0.25">
      <c r="A5423" s="7" t="s">
        <v>3094</v>
      </c>
      <c r="B5423" s="8" t="s">
        <v>3095</v>
      </c>
      <c r="C5423" s="8" t="s">
        <v>1345</v>
      </c>
      <c r="D5423" s="8" t="str">
        <f>"9783737602853"</f>
        <v>9783737602853</v>
      </c>
    </row>
    <row r="5424" spans="1:4" ht="30" x14ac:dyDescent="0.25">
      <c r="A5424" s="7" t="s">
        <v>5052</v>
      </c>
      <c r="B5424" s="8" t="s">
        <v>5053</v>
      </c>
      <c r="C5424" s="8" t="s">
        <v>1865</v>
      </c>
      <c r="D5424" s="8" t="str">
        <f>"9789179298319"</f>
        <v>9789179298319</v>
      </c>
    </row>
    <row r="5425" spans="1:4" ht="30" x14ac:dyDescent="0.25">
      <c r="A5425" s="7" t="s">
        <v>15507</v>
      </c>
      <c r="B5425" s="8" t="s">
        <v>15508</v>
      </c>
      <c r="C5425" s="8" t="s">
        <v>1865</v>
      </c>
      <c r="D5425" s="8" t="str">
        <f>"9789185715886"</f>
        <v>9789185715886</v>
      </c>
    </row>
    <row r="5426" spans="1:4" x14ac:dyDescent="0.25">
      <c r="A5426" s="7" t="s">
        <v>518</v>
      </c>
      <c r="B5426" s="8" t="s">
        <v>519</v>
      </c>
      <c r="C5426" s="8" t="s">
        <v>316</v>
      </c>
      <c r="D5426" s="8" t="str">
        <f>"9783110227369"</f>
        <v>9783110227369</v>
      </c>
    </row>
    <row r="5427" spans="1:4" x14ac:dyDescent="0.25">
      <c r="A5427" s="7" t="s">
        <v>8551</v>
      </c>
      <c r="B5427" s="8" t="s">
        <v>8552</v>
      </c>
      <c r="C5427" s="8" t="s">
        <v>993</v>
      </c>
      <c r="D5427" s="8" t="str">
        <f>"9783839455715"</f>
        <v>9783839455715</v>
      </c>
    </row>
    <row r="5428" spans="1:4" x14ac:dyDescent="0.25">
      <c r="A5428" s="7" t="s">
        <v>2194</v>
      </c>
      <c r="B5428" s="8" t="s">
        <v>2195</v>
      </c>
      <c r="C5428" s="8" t="s">
        <v>329</v>
      </c>
      <c r="D5428" s="8" t="str">
        <f>"9789048525805"</f>
        <v>9789048525805</v>
      </c>
    </row>
    <row r="5429" spans="1:4" ht="30" x14ac:dyDescent="0.25">
      <c r="A5429" s="7" t="s">
        <v>8301</v>
      </c>
      <c r="B5429" s="8" t="s">
        <v>8302</v>
      </c>
      <c r="C5429" s="8" t="s">
        <v>993</v>
      </c>
      <c r="D5429" s="8" t="str">
        <f>"9783839452837"</f>
        <v>9783839452837</v>
      </c>
    </row>
    <row r="5430" spans="1:4" x14ac:dyDescent="0.25">
      <c r="A5430" s="7" t="s">
        <v>12469</v>
      </c>
      <c r="B5430" s="8" t="s">
        <v>12470</v>
      </c>
      <c r="C5430" s="8" t="s">
        <v>5086</v>
      </c>
      <c r="D5430" s="8" t="str">
        <f>"9783658381547"</f>
        <v>9783658381547</v>
      </c>
    </row>
    <row r="5431" spans="1:4" ht="30" x14ac:dyDescent="0.25">
      <c r="A5431" s="7" t="s">
        <v>15053</v>
      </c>
      <c r="B5431" s="8" t="s">
        <v>15054</v>
      </c>
      <c r="C5431" s="8" t="s">
        <v>1865</v>
      </c>
      <c r="D5431" s="8" t="str">
        <f>"9789175197609"</f>
        <v>9789175197609</v>
      </c>
    </row>
    <row r="5432" spans="1:4" ht="30" x14ac:dyDescent="0.25">
      <c r="A5432" s="7" t="s">
        <v>11428</v>
      </c>
      <c r="B5432" s="8" t="s">
        <v>11429</v>
      </c>
      <c r="C5432" s="8" t="s">
        <v>355</v>
      </c>
      <c r="D5432" s="8" t="str">
        <f>"9783110664270"</f>
        <v>9783110664270</v>
      </c>
    </row>
    <row r="5433" spans="1:4" x14ac:dyDescent="0.25">
      <c r="A5433" s="7" t="s">
        <v>7692</v>
      </c>
      <c r="B5433" s="8" t="s">
        <v>7693</v>
      </c>
      <c r="C5433" s="8" t="s">
        <v>993</v>
      </c>
      <c r="D5433" s="8" t="str">
        <f>"9783839429464"</f>
        <v>9783839429464</v>
      </c>
    </row>
    <row r="5434" spans="1:4" x14ac:dyDescent="0.25">
      <c r="A5434" s="7" t="s">
        <v>14332</v>
      </c>
      <c r="B5434" s="8" t="s">
        <v>14333</v>
      </c>
      <c r="C5434" s="8" t="s">
        <v>2273</v>
      </c>
      <c r="D5434" s="8" t="str">
        <f>"9783031207402"</f>
        <v>9783031207402</v>
      </c>
    </row>
    <row r="5435" spans="1:4" x14ac:dyDescent="0.25">
      <c r="A5435" s="7" t="s">
        <v>5797</v>
      </c>
      <c r="B5435" s="8" t="s">
        <v>5798</v>
      </c>
      <c r="C5435" s="8" t="s">
        <v>5134</v>
      </c>
      <c r="D5435" s="8" t="str">
        <f>"9783642256431"</f>
        <v>9783642256431</v>
      </c>
    </row>
    <row r="5436" spans="1:4" x14ac:dyDescent="0.25">
      <c r="A5436" s="7" t="s">
        <v>649</v>
      </c>
      <c r="B5436" s="8" t="s">
        <v>650</v>
      </c>
      <c r="C5436" s="8" t="s">
        <v>562</v>
      </c>
      <c r="D5436" s="8" t="str">
        <f>"9780822395119"</f>
        <v>9780822395119</v>
      </c>
    </row>
    <row r="5437" spans="1:4" ht="30" x14ac:dyDescent="0.25">
      <c r="A5437" s="7" t="s">
        <v>2921</v>
      </c>
      <c r="B5437" s="8" t="s">
        <v>2922</v>
      </c>
      <c r="C5437" s="8" t="s">
        <v>355</v>
      </c>
      <c r="D5437" s="8" t="str">
        <f>"9783110478815"</f>
        <v>9783110478815</v>
      </c>
    </row>
    <row r="5438" spans="1:4" x14ac:dyDescent="0.25">
      <c r="A5438" s="7" t="s">
        <v>5966</v>
      </c>
      <c r="B5438" s="8" t="s">
        <v>5967</v>
      </c>
      <c r="C5438" s="8" t="s">
        <v>5484</v>
      </c>
      <c r="D5438" s="8" t="str">
        <f>"9781430265276"</f>
        <v>9781430265276</v>
      </c>
    </row>
    <row r="5439" spans="1:4" x14ac:dyDescent="0.25">
      <c r="A5439" s="7" t="s">
        <v>7170</v>
      </c>
      <c r="B5439" s="8" t="s">
        <v>7171</v>
      </c>
      <c r="C5439" s="8" t="s">
        <v>355</v>
      </c>
      <c r="D5439" s="8" t="str">
        <f>"9783110690668"</f>
        <v>9783110690668</v>
      </c>
    </row>
    <row r="5440" spans="1:4" x14ac:dyDescent="0.25">
      <c r="A5440" s="7" t="s">
        <v>10446</v>
      </c>
      <c r="B5440" s="8" t="s">
        <v>117</v>
      </c>
      <c r="C5440" s="8" t="s">
        <v>993</v>
      </c>
      <c r="D5440" s="8" t="str">
        <f>"9783839456828"</f>
        <v>9783839456828</v>
      </c>
    </row>
    <row r="5441" spans="1:4" x14ac:dyDescent="0.25">
      <c r="A5441" s="7" t="s">
        <v>7440</v>
      </c>
      <c r="B5441" s="8" t="s">
        <v>7441</v>
      </c>
      <c r="C5441" s="8" t="s">
        <v>993</v>
      </c>
      <c r="D5441" s="8" t="str">
        <f>"9783839440049"</f>
        <v>9783839440049</v>
      </c>
    </row>
    <row r="5442" spans="1:4" x14ac:dyDescent="0.25">
      <c r="A5442" s="7" t="s">
        <v>10758</v>
      </c>
      <c r="B5442" s="8" t="s">
        <v>10759</v>
      </c>
      <c r="C5442" s="8" t="s">
        <v>1876</v>
      </c>
      <c r="D5442" s="8" t="str">
        <f>"9781921867293"</f>
        <v>9781921867293</v>
      </c>
    </row>
    <row r="5443" spans="1:4" x14ac:dyDescent="0.25">
      <c r="A5443" s="7" t="s">
        <v>12648</v>
      </c>
      <c r="B5443" s="8" t="s">
        <v>12649</v>
      </c>
      <c r="C5443" s="8" t="s">
        <v>2273</v>
      </c>
      <c r="D5443" s="8" t="str">
        <f>"9783030978266"</f>
        <v>9783030978266</v>
      </c>
    </row>
    <row r="5444" spans="1:4" x14ac:dyDescent="0.25">
      <c r="A5444" s="7" t="s">
        <v>13572</v>
      </c>
      <c r="B5444" s="8" t="s">
        <v>13573</v>
      </c>
      <c r="C5444" s="8" t="s">
        <v>2273</v>
      </c>
      <c r="D5444" s="8" t="str">
        <f>"9783031112720"</f>
        <v>9783031112720</v>
      </c>
    </row>
    <row r="5445" spans="1:4" x14ac:dyDescent="0.25">
      <c r="A5445" s="7" t="s">
        <v>11199</v>
      </c>
      <c r="B5445" s="8" t="s">
        <v>11200</v>
      </c>
      <c r="C5445" s="8" t="s">
        <v>355</v>
      </c>
      <c r="D5445" s="8" t="str">
        <f>"9783111409832"</f>
        <v>9783111409832</v>
      </c>
    </row>
    <row r="5446" spans="1:4" ht="30" x14ac:dyDescent="0.25">
      <c r="A5446" s="7" t="s">
        <v>15955</v>
      </c>
      <c r="B5446" s="8" t="s">
        <v>15956</v>
      </c>
      <c r="C5446" s="8" t="s">
        <v>1865</v>
      </c>
      <c r="D5446" s="8" t="str">
        <f>"9789185895045"</f>
        <v>9789185895045</v>
      </c>
    </row>
    <row r="5447" spans="1:4" ht="30" x14ac:dyDescent="0.25">
      <c r="A5447" s="7" t="s">
        <v>15117</v>
      </c>
      <c r="B5447" s="8" t="s">
        <v>15118</v>
      </c>
      <c r="C5447" s="8" t="s">
        <v>1865</v>
      </c>
      <c r="D5447" s="8" t="str">
        <f>"9789175199603"</f>
        <v>9789175199603</v>
      </c>
    </row>
    <row r="5448" spans="1:4" x14ac:dyDescent="0.25">
      <c r="A5448" s="7" t="s">
        <v>2490</v>
      </c>
      <c r="B5448" s="8" t="s">
        <v>2491</v>
      </c>
      <c r="C5448" s="8" t="s">
        <v>1865</v>
      </c>
      <c r="D5448" s="8" t="str">
        <f>"9789176858868"</f>
        <v>9789176858868</v>
      </c>
    </row>
    <row r="5449" spans="1:4" ht="30" x14ac:dyDescent="0.25">
      <c r="A5449" s="7" t="s">
        <v>2737</v>
      </c>
      <c r="B5449" s="8" t="s">
        <v>2738</v>
      </c>
      <c r="C5449" s="8" t="s">
        <v>1865</v>
      </c>
      <c r="D5449" s="8" t="str">
        <f>"9789176857137"</f>
        <v>9789176857137</v>
      </c>
    </row>
    <row r="5450" spans="1:4" x14ac:dyDescent="0.25">
      <c r="A5450" s="7" t="s">
        <v>14587</v>
      </c>
      <c r="B5450" s="8" t="s">
        <v>14588</v>
      </c>
      <c r="C5450" s="8" t="s">
        <v>1865</v>
      </c>
      <c r="D5450" s="8" t="str">
        <f>"9789179294762"</f>
        <v>9789179294762</v>
      </c>
    </row>
    <row r="5451" spans="1:4" ht="30" x14ac:dyDescent="0.25">
      <c r="A5451" s="7" t="s">
        <v>551</v>
      </c>
      <c r="B5451" s="8" t="s">
        <v>552</v>
      </c>
      <c r="C5451" s="8" t="s">
        <v>316</v>
      </c>
      <c r="D5451" s="8" t="str">
        <f>"9783110311358"</f>
        <v>9783110311358</v>
      </c>
    </row>
    <row r="5452" spans="1:4" x14ac:dyDescent="0.25">
      <c r="A5452" s="7" t="s">
        <v>15735</v>
      </c>
      <c r="B5452" s="8" t="s">
        <v>15736</v>
      </c>
      <c r="C5452" s="8" t="s">
        <v>1865</v>
      </c>
      <c r="D5452" s="8" t="str">
        <f>"9789175197203"</f>
        <v>9789175197203</v>
      </c>
    </row>
    <row r="5453" spans="1:4" x14ac:dyDescent="0.25">
      <c r="A5453" s="7" t="s">
        <v>14620</v>
      </c>
      <c r="B5453" s="8" t="s">
        <v>14621</v>
      </c>
      <c r="C5453" s="8" t="s">
        <v>1865</v>
      </c>
      <c r="D5453" s="8" t="str">
        <f>"9789179296926"</f>
        <v>9789179296926</v>
      </c>
    </row>
    <row r="5454" spans="1:4" x14ac:dyDescent="0.25">
      <c r="A5454" s="7" t="s">
        <v>14593</v>
      </c>
      <c r="B5454" s="8" t="s">
        <v>14594</v>
      </c>
      <c r="C5454" s="8" t="s">
        <v>1865</v>
      </c>
      <c r="D5454" s="8" t="str">
        <f>"9789179291631"</f>
        <v>9789179291631</v>
      </c>
    </row>
    <row r="5455" spans="1:4" x14ac:dyDescent="0.25">
      <c r="A5455" s="7" t="s">
        <v>15164</v>
      </c>
      <c r="B5455" s="8" t="s">
        <v>15165</v>
      </c>
      <c r="C5455" s="8" t="s">
        <v>1865</v>
      </c>
      <c r="D5455" s="8" t="str">
        <f>"9789176857809"</f>
        <v>9789176857809</v>
      </c>
    </row>
    <row r="5456" spans="1:4" x14ac:dyDescent="0.25">
      <c r="A5456" s="7" t="s">
        <v>3324</v>
      </c>
      <c r="B5456" s="8" t="s">
        <v>3325</v>
      </c>
      <c r="C5456" s="8" t="s">
        <v>1865</v>
      </c>
      <c r="D5456" s="8" t="str">
        <f>"9789176854372"</f>
        <v>9789176854372</v>
      </c>
    </row>
    <row r="5457" spans="1:4" x14ac:dyDescent="0.25">
      <c r="A5457" s="7" t="s">
        <v>12602</v>
      </c>
      <c r="B5457" s="8" t="s">
        <v>12603</v>
      </c>
      <c r="C5457" s="8" t="s">
        <v>1865</v>
      </c>
      <c r="D5457" s="8" t="str">
        <f>"9789179294403"</f>
        <v>9789179294403</v>
      </c>
    </row>
    <row r="5458" spans="1:4" ht="30" x14ac:dyDescent="0.25">
      <c r="A5458" s="7" t="s">
        <v>15936</v>
      </c>
      <c r="B5458" s="8" t="s">
        <v>15937</v>
      </c>
      <c r="C5458" s="8" t="s">
        <v>1865</v>
      </c>
      <c r="D5458" s="8" t="str">
        <f>"9789175190266"</f>
        <v>9789175190266</v>
      </c>
    </row>
    <row r="5459" spans="1:4" ht="30" x14ac:dyDescent="0.25">
      <c r="A5459" s="7" t="s">
        <v>15461</v>
      </c>
      <c r="B5459" s="8" t="s">
        <v>15462</v>
      </c>
      <c r="C5459" s="8" t="s">
        <v>1865</v>
      </c>
      <c r="D5459" s="8" t="str">
        <f>"9789176858387"</f>
        <v>9789176858387</v>
      </c>
    </row>
    <row r="5460" spans="1:4" x14ac:dyDescent="0.25">
      <c r="A5460" s="7" t="s">
        <v>3365</v>
      </c>
      <c r="B5460" s="8" t="s">
        <v>3366</v>
      </c>
      <c r="C5460" s="8" t="s">
        <v>1865</v>
      </c>
      <c r="D5460" s="8" t="str">
        <f>"9789176855119"</f>
        <v>9789176855119</v>
      </c>
    </row>
    <row r="5461" spans="1:4" x14ac:dyDescent="0.25">
      <c r="A5461" s="7" t="s">
        <v>14791</v>
      </c>
      <c r="B5461" s="8" t="s">
        <v>14792</v>
      </c>
      <c r="C5461" s="8" t="s">
        <v>1865</v>
      </c>
      <c r="D5461" s="8" t="str">
        <f>"9789175199948"</f>
        <v>9789175199948</v>
      </c>
    </row>
    <row r="5462" spans="1:4" x14ac:dyDescent="0.25">
      <c r="A5462" s="7" t="s">
        <v>16041</v>
      </c>
      <c r="B5462" s="8" t="s">
        <v>4673</v>
      </c>
      <c r="C5462" s="8" t="s">
        <v>1865</v>
      </c>
      <c r="D5462" s="8" t="str">
        <f>"9789175191225"</f>
        <v>9789175191225</v>
      </c>
    </row>
    <row r="5463" spans="1:4" x14ac:dyDescent="0.25">
      <c r="A5463" s="7" t="s">
        <v>2514</v>
      </c>
      <c r="B5463" s="8" t="s">
        <v>2515</v>
      </c>
      <c r="C5463" s="8" t="s">
        <v>1865</v>
      </c>
      <c r="D5463" s="8" t="str">
        <f>"9789176858967"</f>
        <v>9789176858967</v>
      </c>
    </row>
    <row r="5464" spans="1:4" x14ac:dyDescent="0.25">
      <c r="A5464" s="7" t="s">
        <v>1938</v>
      </c>
      <c r="B5464" s="8"/>
      <c r="C5464" s="8"/>
      <c r="D5464" s="8"/>
    </row>
    <row r="5465" spans="1:4" x14ac:dyDescent="0.25">
      <c r="A5465" s="7" t="s">
        <v>16010</v>
      </c>
      <c r="B5465" s="8" t="s">
        <v>6768</v>
      </c>
      <c r="C5465" s="8" t="s">
        <v>1865</v>
      </c>
      <c r="D5465" s="8" t="str">
        <f>"9789176850756"</f>
        <v>9789176850756</v>
      </c>
    </row>
    <row r="5466" spans="1:4" x14ac:dyDescent="0.25">
      <c r="A5466" s="7" t="s">
        <v>14434</v>
      </c>
      <c r="B5466" s="8" t="s">
        <v>14435</v>
      </c>
      <c r="C5466" s="8" t="s">
        <v>1865</v>
      </c>
      <c r="D5466" s="8" t="str">
        <f>"9789179291426"</f>
        <v>9789179291426</v>
      </c>
    </row>
    <row r="5467" spans="1:4" ht="30" x14ac:dyDescent="0.25">
      <c r="A5467" s="7" t="s">
        <v>6446</v>
      </c>
      <c r="B5467" s="8" t="s">
        <v>6447</v>
      </c>
      <c r="C5467" s="8" t="s">
        <v>1865</v>
      </c>
      <c r="D5467" s="8" t="str">
        <f>"9789179297084"</f>
        <v>9789179297084</v>
      </c>
    </row>
    <row r="5468" spans="1:4" x14ac:dyDescent="0.25">
      <c r="A5468" s="7" t="s">
        <v>14683</v>
      </c>
      <c r="B5468" s="8" t="s">
        <v>14684</v>
      </c>
      <c r="C5468" s="8" t="s">
        <v>1865</v>
      </c>
      <c r="D5468" s="8" t="str">
        <f>"9789179292454"</f>
        <v>9789179292454</v>
      </c>
    </row>
    <row r="5469" spans="1:4" ht="30" x14ac:dyDescent="0.25">
      <c r="A5469" s="7" t="s">
        <v>8667</v>
      </c>
      <c r="B5469" s="8" t="s">
        <v>8668</v>
      </c>
      <c r="C5469" s="8" t="s">
        <v>1865</v>
      </c>
      <c r="D5469" s="8" t="str">
        <f>"9789179296636"</f>
        <v>9789179296636</v>
      </c>
    </row>
    <row r="5470" spans="1:4" x14ac:dyDescent="0.25">
      <c r="A5470" s="7" t="s">
        <v>12606</v>
      </c>
      <c r="B5470" s="8" t="s">
        <v>12607</v>
      </c>
      <c r="C5470" s="8" t="s">
        <v>1865</v>
      </c>
      <c r="D5470" s="8" t="str">
        <f>"9789179294151"</f>
        <v>9789179294151</v>
      </c>
    </row>
    <row r="5471" spans="1:4" ht="30" x14ac:dyDescent="0.25">
      <c r="A5471" s="7" t="s">
        <v>15798</v>
      </c>
      <c r="B5471" s="8" t="s">
        <v>15799</v>
      </c>
      <c r="C5471" s="8" t="s">
        <v>1865</v>
      </c>
      <c r="D5471" s="8" t="str">
        <f>"9789175196916"</f>
        <v>9789175196916</v>
      </c>
    </row>
    <row r="5472" spans="1:4" x14ac:dyDescent="0.25">
      <c r="A5472" s="7" t="s">
        <v>16059</v>
      </c>
      <c r="B5472" s="8" t="s">
        <v>3473</v>
      </c>
      <c r="C5472" s="8" t="s">
        <v>1865</v>
      </c>
      <c r="D5472" s="8" t="str">
        <f>"9789176857076"</f>
        <v>9789176857076</v>
      </c>
    </row>
    <row r="5473" spans="1:4" x14ac:dyDescent="0.25">
      <c r="A5473" s="7" t="s">
        <v>16046</v>
      </c>
      <c r="B5473" s="8" t="s">
        <v>14459</v>
      </c>
      <c r="C5473" s="8" t="s">
        <v>1865</v>
      </c>
      <c r="D5473" s="8" t="str">
        <f>"9789179299156"</f>
        <v>9789179299156</v>
      </c>
    </row>
    <row r="5474" spans="1:4" x14ac:dyDescent="0.25">
      <c r="A5474" s="7" t="s">
        <v>16084</v>
      </c>
      <c r="B5474" s="8" t="s">
        <v>16085</v>
      </c>
      <c r="C5474" s="8" t="s">
        <v>1865</v>
      </c>
      <c r="D5474" s="8" t="str">
        <f>"9789175197913"</f>
        <v>9789175197913</v>
      </c>
    </row>
    <row r="5475" spans="1:4" x14ac:dyDescent="0.25">
      <c r="A5475" s="7" t="s">
        <v>7897</v>
      </c>
      <c r="B5475" s="8" t="s">
        <v>7898</v>
      </c>
      <c r="C5475" s="8" t="s">
        <v>1865</v>
      </c>
      <c r="D5475" s="8" t="str">
        <f>"9789179290061"</f>
        <v>9789179290061</v>
      </c>
    </row>
    <row r="5476" spans="1:4" x14ac:dyDescent="0.25">
      <c r="A5476" s="7" t="s">
        <v>16026</v>
      </c>
      <c r="B5476" s="8" t="s">
        <v>16027</v>
      </c>
      <c r="C5476" s="8" t="s">
        <v>1865</v>
      </c>
      <c r="D5476" s="8" t="str">
        <f>"9789175198064"</f>
        <v>9789175198064</v>
      </c>
    </row>
    <row r="5477" spans="1:4" x14ac:dyDescent="0.25">
      <c r="A5477" s="7" t="s">
        <v>3350</v>
      </c>
      <c r="B5477" s="8" t="s">
        <v>3351</v>
      </c>
      <c r="C5477" s="8" t="s">
        <v>1865</v>
      </c>
      <c r="D5477" s="8" t="str">
        <f>"9789176854259"</f>
        <v>9789176854259</v>
      </c>
    </row>
    <row r="5478" spans="1:4" x14ac:dyDescent="0.25">
      <c r="A5478" s="7" t="s">
        <v>15480</v>
      </c>
      <c r="B5478" s="8" t="s">
        <v>4937</v>
      </c>
      <c r="C5478" s="8" t="s">
        <v>1865</v>
      </c>
      <c r="D5478" s="8" t="str">
        <f>"9789176851302"</f>
        <v>9789176851302</v>
      </c>
    </row>
    <row r="5479" spans="1:4" x14ac:dyDescent="0.25">
      <c r="A5479" s="7" t="s">
        <v>15816</v>
      </c>
      <c r="B5479" s="8" t="s">
        <v>6617</v>
      </c>
      <c r="C5479" s="8" t="s">
        <v>1865</v>
      </c>
      <c r="D5479" s="8" t="str">
        <f>"9789176850572"</f>
        <v>9789176850572</v>
      </c>
    </row>
    <row r="5480" spans="1:4" x14ac:dyDescent="0.25">
      <c r="A5480" s="7" t="s">
        <v>12707</v>
      </c>
      <c r="B5480" s="8" t="s">
        <v>12708</v>
      </c>
      <c r="C5480" s="8" t="s">
        <v>1865</v>
      </c>
      <c r="D5480" s="8" t="str">
        <f>"9789179295233"</f>
        <v>9789179295233</v>
      </c>
    </row>
    <row r="5481" spans="1:4" x14ac:dyDescent="0.25">
      <c r="A5481" s="7" t="s">
        <v>14794</v>
      </c>
      <c r="B5481" s="8" t="s">
        <v>14795</v>
      </c>
      <c r="C5481" s="8" t="s">
        <v>1865</v>
      </c>
      <c r="D5481" s="8" t="str">
        <f>"9789176856284"</f>
        <v>9789176856284</v>
      </c>
    </row>
    <row r="5482" spans="1:4" x14ac:dyDescent="0.25">
      <c r="A5482" s="7" t="s">
        <v>3753</v>
      </c>
      <c r="B5482" s="8" t="s">
        <v>3754</v>
      </c>
      <c r="C5482" s="8" t="s">
        <v>1865</v>
      </c>
      <c r="D5482" s="8" t="str">
        <f>"9789176853474"</f>
        <v>9789176853474</v>
      </c>
    </row>
    <row r="5483" spans="1:4" x14ac:dyDescent="0.25">
      <c r="A5483" s="7" t="s">
        <v>4800</v>
      </c>
      <c r="B5483" s="8" t="s">
        <v>4801</v>
      </c>
      <c r="C5483" s="8" t="s">
        <v>1865</v>
      </c>
      <c r="D5483" s="8" t="str">
        <f>"9789179299545"</f>
        <v>9789179299545</v>
      </c>
    </row>
    <row r="5484" spans="1:4" x14ac:dyDescent="0.25">
      <c r="A5484" s="7" t="s">
        <v>4756</v>
      </c>
      <c r="B5484" s="8" t="s">
        <v>4757</v>
      </c>
      <c r="C5484" s="8" t="s">
        <v>1865</v>
      </c>
      <c r="D5484" s="8" t="str">
        <f>"9789179299774"</f>
        <v>9789179299774</v>
      </c>
    </row>
    <row r="5485" spans="1:4" x14ac:dyDescent="0.25">
      <c r="A5485" s="7" t="s">
        <v>4044</v>
      </c>
      <c r="B5485" s="8" t="s">
        <v>4045</v>
      </c>
      <c r="C5485" s="8" t="s">
        <v>2073</v>
      </c>
      <c r="D5485" s="8" t="str">
        <f>"9781438471501"</f>
        <v>9781438471501</v>
      </c>
    </row>
    <row r="5486" spans="1:4" x14ac:dyDescent="0.25">
      <c r="A5486" s="7" t="s">
        <v>16295</v>
      </c>
      <c r="B5486" s="8" t="s">
        <v>15493</v>
      </c>
      <c r="C5486" s="8" t="s">
        <v>1865</v>
      </c>
      <c r="D5486" s="8" t="str">
        <f>"9789179299293"</f>
        <v>9789179299293</v>
      </c>
    </row>
    <row r="5487" spans="1:4" x14ac:dyDescent="0.25">
      <c r="A5487" s="7" t="s">
        <v>15241</v>
      </c>
      <c r="B5487" s="8" t="s">
        <v>3121</v>
      </c>
      <c r="C5487" s="8" t="s">
        <v>1865</v>
      </c>
      <c r="D5487" s="8" t="str">
        <f>"9789176859650"</f>
        <v>9789176859650</v>
      </c>
    </row>
    <row r="5488" spans="1:4" x14ac:dyDescent="0.25">
      <c r="A5488" s="7" t="s">
        <v>15789</v>
      </c>
      <c r="B5488" s="8" t="s">
        <v>15790</v>
      </c>
      <c r="C5488" s="8" t="s">
        <v>1865</v>
      </c>
      <c r="D5488" s="8" t="str">
        <f>"9789176852200"</f>
        <v>9789176852200</v>
      </c>
    </row>
    <row r="5489" spans="1:4" x14ac:dyDescent="0.25">
      <c r="A5489" s="7" t="s">
        <v>6872</v>
      </c>
      <c r="B5489" s="8" t="s">
        <v>6873</v>
      </c>
      <c r="C5489" s="8" t="s">
        <v>1865</v>
      </c>
      <c r="D5489" s="8" t="str">
        <f>"9789179296919"</f>
        <v>9789179296919</v>
      </c>
    </row>
    <row r="5490" spans="1:4" ht="30" x14ac:dyDescent="0.25">
      <c r="A5490" s="7" t="s">
        <v>15230</v>
      </c>
      <c r="B5490" s="8" t="s">
        <v>15231</v>
      </c>
      <c r="C5490" s="8" t="s">
        <v>1865</v>
      </c>
      <c r="D5490" s="8" t="str">
        <f>"9789175195841"</f>
        <v>9789175195841</v>
      </c>
    </row>
    <row r="5491" spans="1:4" x14ac:dyDescent="0.25">
      <c r="A5491" s="7" t="s">
        <v>14850</v>
      </c>
      <c r="B5491" s="8" t="s">
        <v>14851</v>
      </c>
      <c r="C5491" s="8" t="s">
        <v>1865</v>
      </c>
      <c r="D5491" s="8" t="str">
        <f>"9789175198781"</f>
        <v>9789175198781</v>
      </c>
    </row>
    <row r="5492" spans="1:4" ht="30" x14ac:dyDescent="0.25">
      <c r="A5492" s="7" t="s">
        <v>15963</v>
      </c>
      <c r="B5492" s="8" t="s">
        <v>15964</v>
      </c>
      <c r="C5492" s="8" t="s">
        <v>1865</v>
      </c>
      <c r="D5492" s="8" t="str">
        <f>"9789175195964"</f>
        <v>9789175195964</v>
      </c>
    </row>
    <row r="5493" spans="1:4" x14ac:dyDescent="0.25">
      <c r="A5493" s="7" t="s">
        <v>16344</v>
      </c>
      <c r="B5493" s="8" t="s">
        <v>16345</v>
      </c>
      <c r="C5493" s="8" t="s">
        <v>1865</v>
      </c>
      <c r="D5493" s="8" t="str">
        <f>"9789175199139"</f>
        <v>9789175199139</v>
      </c>
    </row>
    <row r="5494" spans="1:4" x14ac:dyDescent="0.25">
      <c r="A5494" s="7" t="s">
        <v>15942</v>
      </c>
      <c r="B5494" s="8" t="s">
        <v>15943</v>
      </c>
      <c r="C5494" s="8" t="s">
        <v>1865</v>
      </c>
      <c r="D5494" s="8" t="str">
        <f>"9789175199801"</f>
        <v>9789175199801</v>
      </c>
    </row>
    <row r="5495" spans="1:4" x14ac:dyDescent="0.25">
      <c r="A5495" s="7" t="s">
        <v>1670</v>
      </c>
      <c r="B5495" s="8" t="s">
        <v>1671</v>
      </c>
      <c r="C5495" s="8" t="s">
        <v>1345</v>
      </c>
      <c r="D5495" s="8" t="str">
        <f>"9783862192274"</f>
        <v>9783862192274</v>
      </c>
    </row>
    <row r="5496" spans="1:4" x14ac:dyDescent="0.25">
      <c r="A5496" s="7" t="s">
        <v>6965</v>
      </c>
      <c r="B5496" s="8" t="s">
        <v>6966</v>
      </c>
      <c r="C5496" s="8" t="s">
        <v>1879</v>
      </c>
      <c r="D5496" s="8" t="str">
        <f>"9781783747719"</f>
        <v>9781783747719</v>
      </c>
    </row>
    <row r="5497" spans="1:4" ht="30" x14ac:dyDescent="0.25">
      <c r="A5497" s="7" t="s">
        <v>4721</v>
      </c>
      <c r="B5497" s="8" t="s">
        <v>4722</v>
      </c>
      <c r="C5497" s="8" t="s">
        <v>1865</v>
      </c>
      <c r="D5497" s="8" t="str">
        <f>"9789179299910"</f>
        <v>9789179299910</v>
      </c>
    </row>
    <row r="5498" spans="1:4" x14ac:dyDescent="0.25">
      <c r="A5498" s="7" t="s">
        <v>709</v>
      </c>
      <c r="B5498" s="8" t="s">
        <v>687</v>
      </c>
      <c r="C5498" s="8" t="s">
        <v>316</v>
      </c>
      <c r="D5498" s="8" t="str">
        <f>"9783110320206"</f>
        <v>9783110320206</v>
      </c>
    </row>
    <row r="5499" spans="1:4" x14ac:dyDescent="0.25">
      <c r="A5499" s="7" t="s">
        <v>1603</v>
      </c>
      <c r="B5499" s="8" t="s">
        <v>1604</v>
      </c>
      <c r="C5499" s="8" t="s">
        <v>1345</v>
      </c>
      <c r="D5499" s="8" t="str">
        <f>"9783862193677"</f>
        <v>9783862193677</v>
      </c>
    </row>
    <row r="5500" spans="1:4" ht="30" x14ac:dyDescent="0.25">
      <c r="A5500" s="7" t="s">
        <v>6347</v>
      </c>
      <c r="B5500" s="8" t="s">
        <v>6348</v>
      </c>
      <c r="C5500" s="8" t="s">
        <v>1865</v>
      </c>
      <c r="D5500" s="8" t="str">
        <f>"9789179297169"</f>
        <v>9789179297169</v>
      </c>
    </row>
    <row r="5501" spans="1:4" ht="30" x14ac:dyDescent="0.25">
      <c r="A5501" s="7" t="s">
        <v>16116</v>
      </c>
      <c r="B5501" s="8" t="s">
        <v>14865</v>
      </c>
      <c r="C5501" s="8" t="s">
        <v>1865</v>
      </c>
      <c r="D5501" s="8" t="str">
        <f>"9789175195131"</f>
        <v>9789175195131</v>
      </c>
    </row>
    <row r="5502" spans="1:4" x14ac:dyDescent="0.25">
      <c r="A5502" s="7" t="s">
        <v>3806</v>
      </c>
      <c r="B5502" s="8" t="s">
        <v>3807</v>
      </c>
      <c r="C5502" s="8" t="s">
        <v>1865</v>
      </c>
      <c r="D5502" s="8" t="str">
        <f>"9789176852514"</f>
        <v>9789176852514</v>
      </c>
    </row>
    <row r="5503" spans="1:4" ht="30" x14ac:dyDescent="0.25">
      <c r="A5503" s="7" t="s">
        <v>1505</v>
      </c>
      <c r="B5503" s="8" t="s">
        <v>1506</v>
      </c>
      <c r="C5503" s="8" t="s">
        <v>1345</v>
      </c>
      <c r="D5503" s="8" t="str">
        <f>"9783862194872"</f>
        <v>9783862194872</v>
      </c>
    </row>
    <row r="5504" spans="1:4" ht="30" x14ac:dyDescent="0.25">
      <c r="A5504" s="7" t="s">
        <v>15492</v>
      </c>
      <c r="B5504" s="8" t="s">
        <v>15493</v>
      </c>
      <c r="C5504" s="8" t="s">
        <v>1865</v>
      </c>
      <c r="D5504" s="8" t="str">
        <f>"9789179295981"</f>
        <v>9789179295981</v>
      </c>
    </row>
    <row r="5505" spans="1:4" x14ac:dyDescent="0.25">
      <c r="A5505" s="7" t="s">
        <v>15341</v>
      </c>
      <c r="B5505" s="8" t="s">
        <v>15342</v>
      </c>
      <c r="C5505" s="8" t="s">
        <v>1865</v>
      </c>
      <c r="D5505" s="8" t="str">
        <f>"9789176857953"</f>
        <v>9789176857953</v>
      </c>
    </row>
    <row r="5506" spans="1:4" x14ac:dyDescent="0.25">
      <c r="A5506" s="7" t="s">
        <v>12586</v>
      </c>
      <c r="B5506" s="8" t="s">
        <v>12587</v>
      </c>
      <c r="C5506" s="8" t="s">
        <v>355</v>
      </c>
      <c r="D5506" s="8" t="str">
        <f>"9783110698046"</f>
        <v>9783110698046</v>
      </c>
    </row>
    <row r="5507" spans="1:4" x14ac:dyDescent="0.25">
      <c r="A5507" s="7" t="s">
        <v>15020</v>
      </c>
      <c r="B5507" s="8" t="s">
        <v>4847</v>
      </c>
      <c r="C5507" s="8" t="s">
        <v>1865</v>
      </c>
      <c r="D5507" s="8" t="str">
        <f>"9789176852699"</f>
        <v>9789176852699</v>
      </c>
    </row>
    <row r="5508" spans="1:4" ht="30" x14ac:dyDescent="0.25">
      <c r="A5508" s="7" t="s">
        <v>14524</v>
      </c>
      <c r="B5508" s="8" t="s">
        <v>14525</v>
      </c>
      <c r="C5508" s="8" t="s">
        <v>1865</v>
      </c>
      <c r="D5508" s="8" t="str">
        <f>"9789179293079"</f>
        <v>9789179293079</v>
      </c>
    </row>
    <row r="5509" spans="1:4" x14ac:dyDescent="0.25">
      <c r="A5509" s="7" t="s">
        <v>2733</v>
      </c>
      <c r="B5509" s="8" t="s">
        <v>2734</v>
      </c>
      <c r="C5509" s="8" t="s">
        <v>1865</v>
      </c>
      <c r="D5509" s="8" t="str">
        <f>"9789176857366"</f>
        <v>9789176857366</v>
      </c>
    </row>
    <row r="5510" spans="1:4" x14ac:dyDescent="0.25">
      <c r="A5510" s="7" t="s">
        <v>7953</v>
      </c>
      <c r="B5510" s="8" t="s">
        <v>7954</v>
      </c>
      <c r="C5510" s="8" t="s">
        <v>1962</v>
      </c>
      <c r="D5510" s="8" t="str">
        <f>"9782759230976"</f>
        <v>9782759230976</v>
      </c>
    </row>
    <row r="5511" spans="1:4" ht="30" x14ac:dyDescent="0.25">
      <c r="A5511" s="7" t="s">
        <v>6305</v>
      </c>
      <c r="B5511" s="8" t="s">
        <v>6306</v>
      </c>
      <c r="C5511" s="8" t="s">
        <v>2273</v>
      </c>
      <c r="D5511" s="8" t="str">
        <f>"9783030549596"</f>
        <v>9783030549596</v>
      </c>
    </row>
    <row r="5512" spans="1:4" x14ac:dyDescent="0.25">
      <c r="A5512" s="7" t="s">
        <v>13971</v>
      </c>
      <c r="B5512" s="8" t="s">
        <v>13972</v>
      </c>
      <c r="C5512" s="8" t="s">
        <v>2273</v>
      </c>
      <c r="D5512" s="8" t="str">
        <f>"9783031192012"</f>
        <v>9783031192012</v>
      </c>
    </row>
    <row r="5513" spans="1:4" x14ac:dyDescent="0.25">
      <c r="A5513" s="7" t="s">
        <v>2925</v>
      </c>
      <c r="B5513" s="8" t="s">
        <v>62</v>
      </c>
      <c r="C5513" s="8" t="s">
        <v>355</v>
      </c>
      <c r="D5513" s="8" t="str">
        <f>"9783110496956"</f>
        <v>9783110496956</v>
      </c>
    </row>
    <row r="5514" spans="1:4" ht="30" x14ac:dyDescent="0.25">
      <c r="A5514" s="7" t="s">
        <v>15102</v>
      </c>
      <c r="B5514" s="8" t="s">
        <v>15103</v>
      </c>
      <c r="C5514" s="8" t="s">
        <v>1865</v>
      </c>
      <c r="D5514" s="8" t="str">
        <f>"9789175198279"</f>
        <v>9789175198279</v>
      </c>
    </row>
    <row r="5515" spans="1:4" x14ac:dyDescent="0.25">
      <c r="A5515" s="7" t="s">
        <v>15301</v>
      </c>
      <c r="B5515" s="8" t="s">
        <v>15302</v>
      </c>
      <c r="C5515" s="8" t="s">
        <v>1865</v>
      </c>
      <c r="D5515" s="8" t="str">
        <f>"9789175192284"</f>
        <v>9789175192284</v>
      </c>
    </row>
    <row r="5516" spans="1:4" x14ac:dyDescent="0.25">
      <c r="A5516" s="7" t="s">
        <v>3717</v>
      </c>
      <c r="B5516" s="8" t="s">
        <v>3718</v>
      </c>
      <c r="C5516" s="8" t="s">
        <v>562</v>
      </c>
      <c r="D5516" s="8" t="str">
        <f>"9780822371847"</f>
        <v>9780822371847</v>
      </c>
    </row>
    <row r="5517" spans="1:4" ht="30" x14ac:dyDescent="0.25">
      <c r="A5517" s="7" t="s">
        <v>9644</v>
      </c>
      <c r="B5517" s="8" t="s">
        <v>9645</v>
      </c>
      <c r="C5517" s="8" t="s">
        <v>1865</v>
      </c>
      <c r="D5517" s="8" t="str">
        <f>"9789179292676"</f>
        <v>9789179292676</v>
      </c>
    </row>
    <row r="5518" spans="1:4" ht="30" x14ac:dyDescent="0.25">
      <c r="A5518" s="7" t="s">
        <v>13497</v>
      </c>
      <c r="B5518" s="8" t="s">
        <v>13498</v>
      </c>
      <c r="C5518" s="8" t="s">
        <v>2273</v>
      </c>
      <c r="D5518" s="8" t="str">
        <f>"9783031125034"</f>
        <v>9783031125034</v>
      </c>
    </row>
    <row r="5519" spans="1:4" x14ac:dyDescent="0.25">
      <c r="A5519" s="7" t="s">
        <v>2972</v>
      </c>
      <c r="B5519" s="8" t="s">
        <v>2973</v>
      </c>
      <c r="C5519" s="8" t="s">
        <v>1879</v>
      </c>
      <c r="D5519" s="8" t="str">
        <f>"9781783742806"</f>
        <v>9781783742806</v>
      </c>
    </row>
    <row r="5520" spans="1:4" ht="30" x14ac:dyDescent="0.25">
      <c r="A5520" s="7" t="s">
        <v>7316</v>
      </c>
      <c r="B5520" s="8" t="s">
        <v>7317</v>
      </c>
      <c r="C5520" s="8" t="s">
        <v>1865</v>
      </c>
      <c r="D5520" s="8" t="str">
        <f>"9789179290009"</f>
        <v>9789179290009</v>
      </c>
    </row>
    <row r="5521" spans="1:4" ht="30" x14ac:dyDescent="0.25">
      <c r="A5521" s="7" t="s">
        <v>13650</v>
      </c>
      <c r="B5521" s="8" t="s">
        <v>13651</v>
      </c>
      <c r="C5521" s="8" t="s">
        <v>2273</v>
      </c>
      <c r="D5521" s="8" t="str">
        <f>"9783031051821"</f>
        <v>9783031051821</v>
      </c>
    </row>
    <row r="5522" spans="1:4" x14ac:dyDescent="0.25">
      <c r="A5522" s="7" t="s">
        <v>8630</v>
      </c>
      <c r="B5522" s="8" t="s">
        <v>8631</v>
      </c>
      <c r="C5522" s="8" t="s">
        <v>5214</v>
      </c>
      <c r="D5522" s="8" t="str">
        <f>"9789402421156"</f>
        <v>9789402421156</v>
      </c>
    </row>
    <row r="5523" spans="1:4" ht="30" x14ac:dyDescent="0.25">
      <c r="A5523" s="7" t="s">
        <v>6649</v>
      </c>
      <c r="B5523" s="8" t="s">
        <v>6650</v>
      </c>
      <c r="C5523" s="8" t="s">
        <v>2273</v>
      </c>
      <c r="D5523" s="8" t="str">
        <f>"9783030323455"</f>
        <v>9783030323455</v>
      </c>
    </row>
    <row r="5524" spans="1:4" x14ac:dyDescent="0.25">
      <c r="A5524" s="7" t="s">
        <v>10829</v>
      </c>
      <c r="B5524" s="8" t="s">
        <v>80</v>
      </c>
      <c r="C5524" s="8" t="s">
        <v>1342</v>
      </c>
      <c r="D5524" s="8" t="str">
        <f>"9789633865903"</f>
        <v>9789633865903</v>
      </c>
    </row>
    <row r="5525" spans="1:4" x14ac:dyDescent="0.25">
      <c r="A5525" s="7" t="s">
        <v>2286</v>
      </c>
      <c r="B5525" s="8" t="s">
        <v>2287</v>
      </c>
      <c r="C5525" s="8" t="s">
        <v>355</v>
      </c>
      <c r="D5525" s="8" t="str">
        <f>"9783110440171"</f>
        <v>9783110440171</v>
      </c>
    </row>
    <row r="5526" spans="1:4" x14ac:dyDescent="0.25">
      <c r="A5526" s="7" t="s">
        <v>15299</v>
      </c>
      <c r="B5526" s="8" t="s">
        <v>15300</v>
      </c>
      <c r="C5526" s="8" t="s">
        <v>1865</v>
      </c>
      <c r="D5526" s="8" t="str">
        <f>"9789175199269"</f>
        <v>9789175199269</v>
      </c>
    </row>
    <row r="5527" spans="1:4" ht="30" x14ac:dyDescent="0.25">
      <c r="A5527" s="7" t="s">
        <v>5303</v>
      </c>
      <c r="B5527" s="8" t="s">
        <v>5304</v>
      </c>
      <c r="C5527" s="8" t="s">
        <v>2273</v>
      </c>
      <c r="D5527" s="8" t="str">
        <f>"9783319000268"</f>
        <v>9783319000268</v>
      </c>
    </row>
    <row r="5528" spans="1:4" x14ac:dyDescent="0.25">
      <c r="A5528" s="7" t="s">
        <v>6771</v>
      </c>
      <c r="B5528" s="8" t="s">
        <v>6772</v>
      </c>
      <c r="C5528" s="8" t="s">
        <v>993</v>
      </c>
      <c r="D5528" s="8" t="str">
        <f>"9783839448854"</f>
        <v>9783839448854</v>
      </c>
    </row>
    <row r="5529" spans="1:4" x14ac:dyDescent="0.25">
      <c r="A5529" s="7" t="s">
        <v>2430</v>
      </c>
      <c r="B5529" s="8" t="s">
        <v>2431</v>
      </c>
      <c r="C5529" s="8" t="s">
        <v>1865</v>
      </c>
      <c r="D5529" s="8" t="str">
        <f>"9789176859445"</f>
        <v>9789176859445</v>
      </c>
    </row>
    <row r="5530" spans="1:4" x14ac:dyDescent="0.25">
      <c r="A5530" s="7" t="s">
        <v>6738</v>
      </c>
      <c r="B5530" s="8" t="s">
        <v>126</v>
      </c>
      <c r="C5530" s="8" t="s">
        <v>2273</v>
      </c>
      <c r="D5530" s="8" t="str">
        <f>"9783030677589"</f>
        <v>9783030677589</v>
      </c>
    </row>
    <row r="5531" spans="1:4" ht="30" x14ac:dyDescent="0.25">
      <c r="A5531" s="7" t="s">
        <v>3151</v>
      </c>
      <c r="B5531" s="8" t="s">
        <v>3152</v>
      </c>
      <c r="C5531" s="8" t="s">
        <v>1865</v>
      </c>
      <c r="D5531" s="8" t="str">
        <f>"9789176855140"</f>
        <v>9789176855140</v>
      </c>
    </row>
    <row r="5532" spans="1:4" x14ac:dyDescent="0.25">
      <c r="A5532" s="7" t="s">
        <v>11185</v>
      </c>
      <c r="B5532" s="8" t="s">
        <v>11186</v>
      </c>
      <c r="C5532" s="8" t="s">
        <v>355</v>
      </c>
      <c r="D5532" s="8" t="str">
        <f>"9783110693461"</f>
        <v>9783110693461</v>
      </c>
    </row>
    <row r="5533" spans="1:4" ht="30" x14ac:dyDescent="0.25">
      <c r="A5533" s="7" t="s">
        <v>8918</v>
      </c>
      <c r="B5533" s="8" t="s">
        <v>8919</v>
      </c>
      <c r="C5533" s="8" t="s">
        <v>2273</v>
      </c>
      <c r="D5533" s="8" t="str">
        <f>"9783030790547"</f>
        <v>9783030790547</v>
      </c>
    </row>
    <row r="5534" spans="1:4" x14ac:dyDescent="0.25">
      <c r="A5534" s="7" t="s">
        <v>9487</v>
      </c>
      <c r="B5534" s="8" t="s">
        <v>9488</v>
      </c>
      <c r="C5534" s="8" t="s">
        <v>1865</v>
      </c>
      <c r="D5534" s="8" t="str">
        <f>"9789179291358"</f>
        <v>9789179291358</v>
      </c>
    </row>
    <row r="5535" spans="1:4" x14ac:dyDescent="0.25">
      <c r="A5535" s="7" t="s">
        <v>16197</v>
      </c>
      <c r="B5535" s="8" t="s">
        <v>2839</v>
      </c>
      <c r="C5535" s="8" t="s">
        <v>1865</v>
      </c>
      <c r="D5535" s="8" t="str">
        <f>"9789175191416"</f>
        <v>9789175191416</v>
      </c>
    </row>
    <row r="5536" spans="1:4" x14ac:dyDescent="0.25">
      <c r="A5536" s="7" t="s">
        <v>2876</v>
      </c>
      <c r="B5536" s="8" t="s">
        <v>2877</v>
      </c>
      <c r="C5536" s="8" t="s">
        <v>1865</v>
      </c>
      <c r="D5536" s="8" t="str">
        <f>"9789176856703"</f>
        <v>9789176856703</v>
      </c>
    </row>
    <row r="5537" spans="1:4" x14ac:dyDescent="0.25">
      <c r="A5537" s="7" t="s">
        <v>14834</v>
      </c>
      <c r="B5537" s="8" t="s">
        <v>14835</v>
      </c>
      <c r="C5537" s="8" t="s">
        <v>1865</v>
      </c>
      <c r="D5537" s="8" t="str">
        <f>"9789175197326"</f>
        <v>9789175197326</v>
      </c>
    </row>
    <row r="5538" spans="1:4" ht="30" x14ac:dyDescent="0.25">
      <c r="A5538" s="7" t="s">
        <v>4113</v>
      </c>
      <c r="B5538" s="8" t="s">
        <v>4114</v>
      </c>
      <c r="C5538" s="8" t="s">
        <v>1865</v>
      </c>
      <c r="D5538" s="8" t="str">
        <f>"9789176852064"</f>
        <v>9789176852064</v>
      </c>
    </row>
    <row r="5539" spans="1:4" x14ac:dyDescent="0.25">
      <c r="A5539" s="7" t="s">
        <v>2980</v>
      </c>
      <c r="B5539" s="8" t="s">
        <v>2981</v>
      </c>
      <c r="C5539" s="8" t="s">
        <v>1865</v>
      </c>
      <c r="D5539" s="8" t="str">
        <f>"9789176856345"</f>
        <v>9789176856345</v>
      </c>
    </row>
    <row r="5540" spans="1:4" x14ac:dyDescent="0.25">
      <c r="A5540" s="7" t="s">
        <v>16397</v>
      </c>
      <c r="B5540" s="8" t="s">
        <v>16398</v>
      </c>
      <c r="C5540" s="8" t="s">
        <v>1865</v>
      </c>
      <c r="D5540" s="8" t="str">
        <f>"9789175198071"</f>
        <v>9789175198071</v>
      </c>
    </row>
    <row r="5541" spans="1:4" x14ac:dyDescent="0.25">
      <c r="A5541" s="7" t="s">
        <v>5183</v>
      </c>
      <c r="B5541" s="8" t="s">
        <v>5184</v>
      </c>
      <c r="C5541" s="8" t="s">
        <v>1865</v>
      </c>
      <c r="D5541" s="8" t="str">
        <f>"9789179298623"</f>
        <v>9789179298623</v>
      </c>
    </row>
    <row r="5542" spans="1:4" x14ac:dyDescent="0.25">
      <c r="A5542" s="7" t="s">
        <v>15343</v>
      </c>
      <c r="B5542" s="8" t="s">
        <v>5184</v>
      </c>
      <c r="C5542" s="8" t="s">
        <v>1865</v>
      </c>
      <c r="D5542" s="8" t="str">
        <f>"9789175191065"</f>
        <v>9789175191065</v>
      </c>
    </row>
    <row r="5543" spans="1:4" x14ac:dyDescent="0.25">
      <c r="A5543" s="7" t="s">
        <v>2200</v>
      </c>
      <c r="B5543" s="8" t="s">
        <v>2201</v>
      </c>
      <c r="C5543" s="8" t="s">
        <v>316</v>
      </c>
      <c r="D5543" s="8" t="str">
        <f>"9783110354324"</f>
        <v>9783110354324</v>
      </c>
    </row>
    <row r="5544" spans="1:4" x14ac:dyDescent="0.25">
      <c r="A5544" s="7" t="s">
        <v>5262</v>
      </c>
      <c r="B5544" s="8" t="s">
        <v>5263</v>
      </c>
      <c r="C5544" s="8" t="s">
        <v>2273</v>
      </c>
      <c r="D5544" s="8" t="str">
        <f>"9783319319032"</f>
        <v>9783319319032</v>
      </c>
    </row>
    <row r="5545" spans="1:4" x14ac:dyDescent="0.25">
      <c r="A5545" s="7" t="s">
        <v>6516</v>
      </c>
      <c r="B5545" s="8" t="s">
        <v>6517</v>
      </c>
      <c r="C5545" s="8" t="s">
        <v>1865</v>
      </c>
      <c r="D5545" s="8" t="str">
        <f>"9789179297459"</f>
        <v>9789179297459</v>
      </c>
    </row>
    <row r="5546" spans="1:4" x14ac:dyDescent="0.25">
      <c r="A5546" s="7" t="s">
        <v>11706</v>
      </c>
      <c r="B5546" s="8" t="s">
        <v>11707</v>
      </c>
      <c r="C5546" s="8" t="s">
        <v>355</v>
      </c>
      <c r="D5546" s="8" t="str">
        <f>"9783111581958"</f>
        <v>9783111581958</v>
      </c>
    </row>
    <row r="5547" spans="1:4" x14ac:dyDescent="0.25">
      <c r="A5547" s="7" t="s">
        <v>15552</v>
      </c>
      <c r="B5547" s="8" t="s">
        <v>5383</v>
      </c>
      <c r="C5547" s="8" t="s">
        <v>1865</v>
      </c>
      <c r="D5547" s="8" t="str">
        <f>"9789176853016"</f>
        <v>9789176853016</v>
      </c>
    </row>
    <row r="5548" spans="1:4" ht="30" x14ac:dyDescent="0.25">
      <c r="A5548" s="7" t="s">
        <v>14668</v>
      </c>
      <c r="B5548" s="8" t="s">
        <v>14669</v>
      </c>
      <c r="C5548" s="8" t="s">
        <v>1865</v>
      </c>
      <c r="D5548" s="8" t="str">
        <f>"9789179295448"</f>
        <v>9789179295448</v>
      </c>
    </row>
    <row r="5549" spans="1:4" ht="30" x14ac:dyDescent="0.25">
      <c r="A5549" s="7" t="s">
        <v>15106</v>
      </c>
      <c r="B5549" s="8" t="s">
        <v>15107</v>
      </c>
      <c r="C5549" s="8" t="s">
        <v>1865</v>
      </c>
      <c r="D5549" s="8" t="str">
        <f>"9789175190815"</f>
        <v>9789175190815</v>
      </c>
    </row>
    <row r="5550" spans="1:4" x14ac:dyDescent="0.25">
      <c r="A5550" s="7" t="s">
        <v>15852</v>
      </c>
      <c r="B5550" s="8" t="s">
        <v>15853</v>
      </c>
      <c r="C5550" s="8" t="s">
        <v>1865</v>
      </c>
      <c r="D5550" s="8" t="str">
        <f>"9789175195735"</f>
        <v>9789175195735</v>
      </c>
    </row>
    <row r="5551" spans="1:4" x14ac:dyDescent="0.25">
      <c r="A5551" s="7" t="s">
        <v>15872</v>
      </c>
      <c r="B5551" s="8" t="s">
        <v>15873</v>
      </c>
      <c r="C5551" s="8" t="s">
        <v>1865</v>
      </c>
      <c r="D5551" s="8" t="str">
        <f>"9789175199009"</f>
        <v>9789175199009</v>
      </c>
    </row>
    <row r="5552" spans="1:4" x14ac:dyDescent="0.25">
      <c r="A5552" s="7" t="s">
        <v>15269</v>
      </c>
      <c r="B5552" s="8" t="s">
        <v>15270</v>
      </c>
      <c r="C5552" s="8" t="s">
        <v>1865</v>
      </c>
      <c r="D5552" s="8" t="str">
        <f>"9789175198293"</f>
        <v>9789175198293</v>
      </c>
    </row>
    <row r="5553" spans="1:4" x14ac:dyDescent="0.25">
      <c r="A5553" s="7" t="s">
        <v>13771</v>
      </c>
      <c r="B5553" s="8" t="s">
        <v>13772</v>
      </c>
      <c r="C5553" s="8" t="s">
        <v>2273</v>
      </c>
      <c r="D5553" s="8" t="str">
        <f>"9783031169540"</f>
        <v>9783031169540</v>
      </c>
    </row>
    <row r="5554" spans="1:4" x14ac:dyDescent="0.25">
      <c r="A5554" s="7" t="s">
        <v>12734</v>
      </c>
      <c r="B5554" s="8" t="s">
        <v>12720</v>
      </c>
      <c r="C5554" s="8" t="s">
        <v>12712</v>
      </c>
      <c r="D5554" s="8" t="str">
        <f>"9783428406081"</f>
        <v>9783428406081</v>
      </c>
    </row>
    <row r="5555" spans="1:4" ht="30" x14ac:dyDescent="0.25">
      <c r="A5555" s="7" t="s">
        <v>1817</v>
      </c>
      <c r="B5555" s="8" t="s">
        <v>1818</v>
      </c>
      <c r="C5555" s="8" t="s">
        <v>1345</v>
      </c>
      <c r="D5555" s="8" t="str">
        <f>"9783862196654"</f>
        <v>9783862196654</v>
      </c>
    </row>
    <row r="5556" spans="1:4" x14ac:dyDescent="0.25">
      <c r="A5556" s="7" t="s">
        <v>10681</v>
      </c>
      <c r="B5556" s="8" t="s">
        <v>10682</v>
      </c>
      <c r="C5556" s="8" t="s">
        <v>5086</v>
      </c>
      <c r="D5556" s="8" t="str">
        <f>"9783658369613"</f>
        <v>9783658369613</v>
      </c>
    </row>
    <row r="5557" spans="1:4" x14ac:dyDescent="0.25">
      <c r="A5557" s="7" t="s">
        <v>1707</v>
      </c>
      <c r="B5557" s="8" t="s">
        <v>1708</v>
      </c>
      <c r="C5557" s="8" t="s">
        <v>1345</v>
      </c>
      <c r="D5557" s="8" t="str">
        <f>"9783862194896"</f>
        <v>9783862194896</v>
      </c>
    </row>
    <row r="5558" spans="1:4" ht="30" x14ac:dyDescent="0.25">
      <c r="A5558" s="7" t="s">
        <v>1860</v>
      </c>
      <c r="B5558" s="8" t="s">
        <v>1861</v>
      </c>
      <c r="C5558" s="8" t="s">
        <v>1345</v>
      </c>
      <c r="D5558" s="8" t="str">
        <f>"9783862199259"</f>
        <v>9783862199259</v>
      </c>
    </row>
    <row r="5559" spans="1:4" ht="30" x14ac:dyDescent="0.25">
      <c r="A5559" s="7" t="s">
        <v>1479</v>
      </c>
      <c r="B5559" s="8" t="s">
        <v>1480</v>
      </c>
      <c r="C5559" s="8" t="s">
        <v>1345</v>
      </c>
      <c r="D5559" s="8" t="str">
        <f>"9783862194537"</f>
        <v>9783862194537</v>
      </c>
    </row>
    <row r="5560" spans="1:4" x14ac:dyDescent="0.25">
      <c r="A5560" s="7" t="s">
        <v>6841</v>
      </c>
      <c r="B5560" s="8" t="s">
        <v>6842</v>
      </c>
      <c r="C5560" s="8" t="s">
        <v>1865</v>
      </c>
      <c r="D5560" s="8" t="str">
        <f>"9789179296735"</f>
        <v>9789179296735</v>
      </c>
    </row>
    <row r="5561" spans="1:4" x14ac:dyDescent="0.25">
      <c r="A5561" s="7" t="s">
        <v>9646</v>
      </c>
      <c r="B5561" s="8" t="s">
        <v>9647</v>
      </c>
      <c r="C5561" s="8" t="s">
        <v>1865</v>
      </c>
      <c r="D5561" s="8" t="str">
        <f>"9789179292553"</f>
        <v>9789179292553</v>
      </c>
    </row>
    <row r="5562" spans="1:4" x14ac:dyDescent="0.25">
      <c r="A5562" s="7" t="s">
        <v>16393</v>
      </c>
      <c r="B5562" s="8" t="s">
        <v>16394</v>
      </c>
      <c r="C5562" s="8" t="s">
        <v>1865</v>
      </c>
      <c r="D5562" s="8" t="str">
        <f>"9789176851685"</f>
        <v>9789176851685</v>
      </c>
    </row>
    <row r="5563" spans="1:4" x14ac:dyDescent="0.25">
      <c r="A5563" s="7" t="s">
        <v>15125</v>
      </c>
      <c r="B5563" s="8" t="s">
        <v>6842</v>
      </c>
      <c r="C5563" s="8" t="s">
        <v>1865</v>
      </c>
      <c r="D5563" s="8" t="str">
        <f>"9789176850565"</f>
        <v>9789176850565</v>
      </c>
    </row>
    <row r="5564" spans="1:4" ht="30" x14ac:dyDescent="0.25">
      <c r="A5564" s="7" t="s">
        <v>13969</v>
      </c>
      <c r="B5564" s="8" t="s">
        <v>13970</v>
      </c>
      <c r="C5564" s="8" t="s">
        <v>2273</v>
      </c>
      <c r="D5564" s="8" t="str">
        <f>"9783031135514"</f>
        <v>9783031135514</v>
      </c>
    </row>
    <row r="5565" spans="1:4" x14ac:dyDescent="0.25">
      <c r="A5565" s="7" t="s">
        <v>15160</v>
      </c>
      <c r="B5565" s="8" t="s">
        <v>15161</v>
      </c>
      <c r="C5565" s="8" t="s">
        <v>1865</v>
      </c>
      <c r="D5565" s="8" t="str">
        <f>"9789175199030"</f>
        <v>9789175199030</v>
      </c>
    </row>
    <row r="5566" spans="1:4" x14ac:dyDescent="0.25">
      <c r="A5566" s="7" t="s">
        <v>16329</v>
      </c>
      <c r="B5566" s="8" t="s">
        <v>16330</v>
      </c>
      <c r="C5566" s="8" t="s">
        <v>1865</v>
      </c>
      <c r="D5566" s="8" t="str">
        <f>"9789175191324"</f>
        <v>9789175191324</v>
      </c>
    </row>
    <row r="5567" spans="1:4" x14ac:dyDescent="0.25">
      <c r="A5567" s="7" t="s">
        <v>1433</v>
      </c>
      <c r="B5567" s="8" t="s">
        <v>1434</v>
      </c>
      <c r="C5567" s="8" t="s">
        <v>1345</v>
      </c>
      <c r="D5567" s="8" t="str">
        <f>"9783862191697"</f>
        <v>9783862191697</v>
      </c>
    </row>
    <row r="5568" spans="1:4" x14ac:dyDescent="0.25">
      <c r="A5568" s="7" t="s">
        <v>15567</v>
      </c>
      <c r="B5568" s="8" t="s">
        <v>15568</v>
      </c>
      <c r="C5568" s="8" t="s">
        <v>1865</v>
      </c>
      <c r="D5568" s="8" t="str">
        <f>"9789175199733"</f>
        <v>9789175199733</v>
      </c>
    </row>
    <row r="5569" spans="1:4" ht="30" x14ac:dyDescent="0.25">
      <c r="A5569" s="7" t="s">
        <v>3708</v>
      </c>
      <c r="B5569" s="8" t="s">
        <v>3709</v>
      </c>
      <c r="C5569" s="8" t="s">
        <v>1345</v>
      </c>
      <c r="D5569" s="8" t="str">
        <f>"9783737604659"</f>
        <v>9783737604659</v>
      </c>
    </row>
    <row r="5570" spans="1:4" x14ac:dyDescent="0.25">
      <c r="A5570" s="7" t="s">
        <v>15935</v>
      </c>
      <c r="B5570" s="8" t="s">
        <v>4747</v>
      </c>
      <c r="C5570" s="8" t="s">
        <v>1865</v>
      </c>
      <c r="D5570" s="8" t="str">
        <f>"9789176853917"</f>
        <v>9789176853917</v>
      </c>
    </row>
    <row r="5571" spans="1:4" x14ac:dyDescent="0.25">
      <c r="A5571" s="7" t="s">
        <v>15889</v>
      </c>
      <c r="B5571" s="8" t="s">
        <v>15890</v>
      </c>
      <c r="C5571" s="8" t="s">
        <v>1865</v>
      </c>
      <c r="D5571" s="8" t="str">
        <f>"9789176856307"</f>
        <v>9789176856307</v>
      </c>
    </row>
    <row r="5572" spans="1:4" x14ac:dyDescent="0.25">
      <c r="A5572" s="7" t="s">
        <v>14701</v>
      </c>
      <c r="B5572" s="8" t="s">
        <v>14702</v>
      </c>
      <c r="C5572" s="8" t="s">
        <v>1865</v>
      </c>
      <c r="D5572" s="8" t="str">
        <f>"9789179296117"</f>
        <v>9789179296117</v>
      </c>
    </row>
    <row r="5573" spans="1:4" x14ac:dyDescent="0.25">
      <c r="A5573" s="7" t="s">
        <v>6783</v>
      </c>
      <c r="B5573" s="8" t="s">
        <v>6784</v>
      </c>
      <c r="C5573" s="8" t="s">
        <v>4245</v>
      </c>
      <c r="D5573" s="8" t="str">
        <f>"9789813367340"</f>
        <v>9789813367340</v>
      </c>
    </row>
    <row r="5574" spans="1:4" x14ac:dyDescent="0.25">
      <c r="A5574" s="7" t="s">
        <v>16277</v>
      </c>
      <c r="B5574" s="8" t="s">
        <v>16278</v>
      </c>
      <c r="C5574" s="8" t="s">
        <v>1865</v>
      </c>
      <c r="D5574" s="8" t="str">
        <f>"9789176856314"</f>
        <v>9789176856314</v>
      </c>
    </row>
    <row r="5575" spans="1:4" x14ac:dyDescent="0.25">
      <c r="A5575" s="7" t="s">
        <v>4796</v>
      </c>
      <c r="B5575" s="8" t="s">
        <v>4797</v>
      </c>
      <c r="C5575" s="8" t="s">
        <v>1865</v>
      </c>
      <c r="D5575" s="8" t="str">
        <f>"9789179299279"</f>
        <v>9789179299279</v>
      </c>
    </row>
    <row r="5576" spans="1:4" x14ac:dyDescent="0.25">
      <c r="A5576" s="7" t="s">
        <v>15880</v>
      </c>
      <c r="B5576" s="8" t="s">
        <v>15881</v>
      </c>
      <c r="C5576" s="8" t="s">
        <v>1865</v>
      </c>
      <c r="D5576" s="8" t="str">
        <f>"9789175197357"</f>
        <v>9789175197357</v>
      </c>
    </row>
    <row r="5577" spans="1:4" x14ac:dyDescent="0.25">
      <c r="A5577" s="7" t="s">
        <v>6153</v>
      </c>
      <c r="B5577" s="8" t="s">
        <v>6154</v>
      </c>
      <c r="C5577" s="8" t="s">
        <v>5484</v>
      </c>
      <c r="D5577" s="8" t="str">
        <f>"9781430264972"</f>
        <v>9781430264972</v>
      </c>
    </row>
    <row r="5578" spans="1:4" x14ac:dyDescent="0.25">
      <c r="A5578" s="7" t="s">
        <v>3652</v>
      </c>
      <c r="B5578" s="8" t="s">
        <v>3653</v>
      </c>
      <c r="C5578" s="8" t="s">
        <v>1865</v>
      </c>
      <c r="D5578" s="8" t="str">
        <f>"9789176853276"</f>
        <v>9789176853276</v>
      </c>
    </row>
    <row r="5579" spans="1:4" ht="30" x14ac:dyDescent="0.25">
      <c r="A5579" s="7" t="s">
        <v>1375</v>
      </c>
      <c r="B5579" s="8" t="s">
        <v>1376</v>
      </c>
      <c r="C5579" s="8" t="s">
        <v>1345</v>
      </c>
      <c r="D5579" s="8" t="str">
        <f>"9783899586954"</f>
        <v>9783899586954</v>
      </c>
    </row>
    <row r="5580" spans="1:4" x14ac:dyDescent="0.25">
      <c r="A5580" s="7" t="s">
        <v>9712</v>
      </c>
      <c r="B5580" s="8" t="s">
        <v>9713</v>
      </c>
      <c r="C5580" s="8" t="s">
        <v>993</v>
      </c>
      <c r="D5580" s="8" t="str">
        <f>"9783839402405"</f>
        <v>9783839402405</v>
      </c>
    </row>
    <row r="5581" spans="1:4" x14ac:dyDescent="0.25">
      <c r="A5581" s="7" t="s">
        <v>2510</v>
      </c>
      <c r="B5581" s="8" t="s">
        <v>2511</v>
      </c>
      <c r="C5581" s="8" t="s">
        <v>1865</v>
      </c>
      <c r="D5581" s="8" t="str">
        <f>"9789176859230"</f>
        <v>9789176859230</v>
      </c>
    </row>
    <row r="5582" spans="1:4" x14ac:dyDescent="0.25">
      <c r="A5582" s="7" t="s">
        <v>6508</v>
      </c>
      <c r="B5582" s="8" t="s">
        <v>6509</v>
      </c>
      <c r="C5582" s="8" t="s">
        <v>2274</v>
      </c>
      <c r="D5582" s="8" t="str">
        <f>"9789811513466"</f>
        <v>9789811513466</v>
      </c>
    </row>
    <row r="5583" spans="1:4" x14ac:dyDescent="0.25">
      <c r="A5583" s="7" t="s">
        <v>1913</v>
      </c>
      <c r="B5583" s="8" t="s">
        <v>1893</v>
      </c>
      <c r="C5583" s="8" t="s">
        <v>1879</v>
      </c>
      <c r="D5583" s="8" t="str">
        <f>"9781906924720"</f>
        <v>9781906924720</v>
      </c>
    </row>
    <row r="5584" spans="1:4" x14ac:dyDescent="0.25">
      <c r="A5584" s="7" t="s">
        <v>1951</v>
      </c>
      <c r="B5584" s="8" t="s">
        <v>1952</v>
      </c>
      <c r="C5584" s="8" t="s">
        <v>1879</v>
      </c>
      <c r="D5584" s="8" t="str">
        <f>"9781909254329"</f>
        <v>9781909254329</v>
      </c>
    </row>
    <row r="5585" spans="1:4" ht="30" x14ac:dyDescent="0.25">
      <c r="A5585" s="7" t="s">
        <v>10727</v>
      </c>
      <c r="B5585" s="8" t="s">
        <v>10728</v>
      </c>
      <c r="C5585" s="8" t="s">
        <v>1876</v>
      </c>
      <c r="D5585" s="8" t="str">
        <f>"9780980361674"</f>
        <v>9780980361674</v>
      </c>
    </row>
    <row r="5586" spans="1:4" ht="30" x14ac:dyDescent="0.25">
      <c r="A5586" s="7" t="s">
        <v>8309</v>
      </c>
      <c r="B5586" s="8" t="s">
        <v>8310</v>
      </c>
      <c r="C5586" s="8" t="s">
        <v>993</v>
      </c>
      <c r="D5586" s="8" t="str">
        <f>"9783839442623"</f>
        <v>9783839442623</v>
      </c>
    </row>
    <row r="5587" spans="1:4" ht="30" x14ac:dyDescent="0.25">
      <c r="A5587" s="7" t="s">
        <v>7773</v>
      </c>
      <c r="B5587" s="8" t="s">
        <v>7774</v>
      </c>
      <c r="C5587" s="8" t="s">
        <v>993</v>
      </c>
      <c r="D5587" s="8" t="str">
        <f>"9783839407837"</f>
        <v>9783839407837</v>
      </c>
    </row>
    <row r="5588" spans="1:4" x14ac:dyDescent="0.25">
      <c r="A5588" s="7" t="s">
        <v>12934</v>
      </c>
      <c r="B5588" s="8" t="s">
        <v>12935</v>
      </c>
      <c r="C5588" s="8" t="s">
        <v>12712</v>
      </c>
      <c r="D5588" s="8" t="str">
        <f>"9783428452774"</f>
        <v>9783428452774</v>
      </c>
    </row>
    <row r="5589" spans="1:4" ht="30" x14ac:dyDescent="0.25">
      <c r="A5589" s="7" t="s">
        <v>16165</v>
      </c>
      <c r="B5589" s="8" t="s">
        <v>16166</v>
      </c>
      <c r="C5589" s="8" t="s">
        <v>1865</v>
      </c>
      <c r="D5589" s="8" t="str">
        <f>"9789175197449"</f>
        <v>9789175197449</v>
      </c>
    </row>
    <row r="5590" spans="1:4" ht="30" x14ac:dyDescent="0.25">
      <c r="A5590" s="7" t="s">
        <v>8065</v>
      </c>
      <c r="B5590" s="8" t="s">
        <v>8066</v>
      </c>
      <c r="C5590" s="8" t="s">
        <v>1865</v>
      </c>
      <c r="D5590" s="8" t="str">
        <f>"9789179290399"</f>
        <v>9789179290399</v>
      </c>
    </row>
    <row r="5591" spans="1:4" x14ac:dyDescent="0.25">
      <c r="A5591" s="7" t="s">
        <v>6295</v>
      </c>
      <c r="B5591" s="8" t="s">
        <v>6296</v>
      </c>
      <c r="C5591" s="8" t="s">
        <v>1865</v>
      </c>
      <c r="D5591" s="8" t="str">
        <f>"9789179297558"</f>
        <v>9789179297558</v>
      </c>
    </row>
    <row r="5592" spans="1:4" x14ac:dyDescent="0.25">
      <c r="A5592" s="7" t="s">
        <v>1836</v>
      </c>
      <c r="B5592" s="8" t="s">
        <v>1837</v>
      </c>
      <c r="C5592" s="8" t="s">
        <v>1345</v>
      </c>
      <c r="D5592" s="8" t="str">
        <f>"9783862198337"</f>
        <v>9783862198337</v>
      </c>
    </row>
    <row r="5593" spans="1:4" x14ac:dyDescent="0.25">
      <c r="A5593" s="7" t="s">
        <v>3775</v>
      </c>
      <c r="B5593" s="8" t="s">
        <v>1837</v>
      </c>
      <c r="C5593" s="8" t="s">
        <v>1345</v>
      </c>
      <c r="D5593" s="8" t="str">
        <f>"9783737605151"</f>
        <v>9783737605151</v>
      </c>
    </row>
    <row r="5594" spans="1:4" x14ac:dyDescent="0.25">
      <c r="A5594" s="7" t="s">
        <v>4436</v>
      </c>
      <c r="B5594" s="8" t="s">
        <v>1837</v>
      </c>
      <c r="C5594" s="8" t="s">
        <v>1345</v>
      </c>
      <c r="D5594" s="8" t="str">
        <f>"9783737606974"</f>
        <v>9783737606974</v>
      </c>
    </row>
    <row r="5595" spans="1:4" x14ac:dyDescent="0.25">
      <c r="A5595" s="7" t="s">
        <v>3128</v>
      </c>
      <c r="B5595" s="8" t="s">
        <v>1837</v>
      </c>
      <c r="C5595" s="8" t="s">
        <v>1345</v>
      </c>
      <c r="D5595" s="8" t="str">
        <f>"9783737603010"</f>
        <v>9783737603010</v>
      </c>
    </row>
    <row r="5596" spans="1:4" x14ac:dyDescent="0.25">
      <c r="A5596" s="7" t="s">
        <v>6397</v>
      </c>
      <c r="B5596" s="8" t="s">
        <v>6398</v>
      </c>
      <c r="C5596" s="8" t="s">
        <v>1036</v>
      </c>
      <c r="D5596" s="8" t="str">
        <f>"9789027212030"</f>
        <v>9789027212030</v>
      </c>
    </row>
    <row r="5597" spans="1:4" x14ac:dyDescent="0.25">
      <c r="A5597" s="7" t="s">
        <v>5120</v>
      </c>
      <c r="B5597" s="8" t="s">
        <v>5121</v>
      </c>
      <c r="C5597" s="8" t="s">
        <v>1865</v>
      </c>
      <c r="D5597" s="8" t="str">
        <f>"9789179298258"</f>
        <v>9789179298258</v>
      </c>
    </row>
    <row r="5598" spans="1:4" x14ac:dyDescent="0.25">
      <c r="A5598" s="7" t="s">
        <v>4867</v>
      </c>
      <c r="B5598" s="8" t="s">
        <v>4868</v>
      </c>
      <c r="C5598" s="8" t="s">
        <v>1865</v>
      </c>
      <c r="D5598" s="8" t="str">
        <f>"9789179299392"</f>
        <v>9789179299392</v>
      </c>
    </row>
    <row r="5599" spans="1:4" x14ac:dyDescent="0.25">
      <c r="A5599" s="7" t="s">
        <v>2931</v>
      </c>
      <c r="B5599" s="8" t="s">
        <v>2932</v>
      </c>
      <c r="C5599" s="8" t="s">
        <v>1865</v>
      </c>
      <c r="D5599" s="8" t="str">
        <f>"9789176856161"</f>
        <v>9789176856161</v>
      </c>
    </row>
    <row r="5600" spans="1:4" x14ac:dyDescent="0.25">
      <c r="A5600" s="7" t="s">
        <v>5576</v>
      </c>
      <c r="B5600" s="8" t="s">
        <v>5577</v>
      </c>
      <c r="C5600" s="8" t="s">
        <v>2273</v>
      </c>
      <c r="D5600" s="8" t="str">
        <f>"9783030362836"</f>
        <v>9783030362836</v>
      </c>
    </row>
    <row r="5601" spans="1:4" ht="30" x14ac:dyDescent="0.25">
      <c r="A5601" s="7" t="s">
        <v>10131</v>
      </c>
      <c r="B5601" s="8" t="s">
        <v>10132</v>
      </c>
      <c r="C5601" s="8" t="s">
        <v>993</v>
      </c>
      <c r="D5601" s="8" t="str">
        <f>"9783839437841"</f>
        <v>9783839437841</v>
      </c>
    </row>
    <row r="5602" spans="1:4" x14ac:dyDescent="0.25">
      <c r="A5602" s="7" t="s">
        <v>12294</v>
      </c>
      <c r="B5602" s="8" t="s">
        <v>12295</v>
      </c>
      <c r="C5602" s="8" t="s">
        <v>993</v>
      </c>
      <c r="D5602" s="8" t="str">
        <f>"9783839459850"</f>
        <v>9783839459850</v>
      </c>
    </row>
    <row r="5603" spans="1:4" ht="30" x14ac:dyDescent="0.25">
      <c r="A5603" s="7" t="s">
        <v>6732</v>
      </c>
      <c r="B5603" s="8" t="s">
        <v>6733</v>
      </c>
      <c r="C5603" s="8" t="s">
        <v>5086</v>
      </c>
      <c r="D5603" s="8" t="str">
        <f>"9783658328726"</f>
        <v>9783658328726</v>
      </c>
    </row>
    <row r="5604" spans="1:4" x14ac:dyDescent="0.25">
      <c r="A5604" s="7" t="s">
        <v>1485</v>
      </c>
      <c r="B5604" s="8" t="s">
        <v>1486</v>
      </c>
      <c r="C5604" s="8" t="s">
        <v>1345</v>
      </c>
      <c r="D5604" s="8" t="str">
        <f>"9783862194230"</f>
        <v>9783862194230</v>
      </c>
    </row>
    <row r="5605" spans="1:4" x14ac:dyDescent="0.25">
      <c r="A5605" s="7" t="s">
        <v>16157</v>
      </c>
      <c r="B5605" s="8" t="s">
        <v>16158</v>
      </c>
      <c r="C5605" s="8" t="s">
        <v>1865</v>
      </c>
      <c r="D5605" s="8" t="str">
        <f>"9789175196787"</f>
        <v>9789175196787</v>
      </c>
    </row>
    <row r="5606" spans="1:4" ht="30" x14ac:dyDescent="0.25">
      <c r="A5606" s="7" t="s">
        <v>9730</v>
      </c>
      <c r="B5606" s="8" t="s">
        <v>9731</v>
      </c>
      <c r="C5606" s="8" t="s">
        <v>993</v>
      </c>
      <c r="D5606" s="8" t="str">
        <f>"9783839402962"</f>
        <v>9783839402962</v>
      </c>
    </row>
    <row r="5607" spans="1:4" x14ac:dyDescent="0.25">
      <c r="A5607" s="7" t="s">
        <v>13475</v>
      </c>
      <c r="B5607" s="8" t="s">
        <v>13476</v>
      </c>
      <c r="C5607" s="8" t="s">
        <v>5086</v>
      </c>
      <c r="D5607" s="8" t="str">
        <f>"9783658392277"</f>
        <v>9783658392277</v>
      </c>
    </row>
    <row r="5608" spans="1:4" x14ac:dyDescent="0.25">
      <c r="A5608" s="7" t="s">
        <v>11004</v>
      </c>
      <c r="B5608" s="8" t="s">
        <v>11005</v>
      </c>
      <c r="C5608" s="8" t="s">
        <v>5086</v>
      </c>
      <c r="D5608" s="8" t="str">
        <f>"9783658375096"</f>
        <v>9783658375096</v>
      </c>
    </row>
    <row r="5609" spans="1:4" x14ac:dyDescent="0.25">
      <c r="A5609" s="7" t="s">
        <v>9558</v>
      </c>
      <c r="B5609" s="8" t="s">
        <v>9559</v>
      </c>
      <c r="C5609" s="8" t="s">
        <v>2273</v>
      </c>
      <c r="D5609" s="8" t="str">
        <f>"9783030928179"</f>
        <v>9783030928179</v>
      </c>
    </row>
    <row r="5610" spans="1:4" x14ac:dyDescent="0.25">
      <c r="A5610" s="7" t="s">
        <v>3828</v>
      </c>
      <c r="B5610" s="8" t="s">
        <v>3829</v>
      </c>
      <c r="C5610" s="8" t="s">
        <v>355</v>
      </c>
      <c r="D5610" s="8" t="str">
        <f>"9783110458657"</f>
        <v>9783110458657</v>
      </c>
    </row>
    <row r="5611" spans="1:4" x14ac:dyDescent="0.25">
      <c r="A5611" s="7" t="s">
        <v>7364</v>
      </c>
      <c r="B5611" s="8" t="s">
        <v>7365</v>
      </c>
      <c r="C5611" s="8" t="s">
        <v>2273</v>
      </c>
      <c r="D5611" s="8" t="str">
        <f>"9783030781576"</f>
        <v>9783030781576</v>
      </c>
    </row>
    <row r="5612" spans="1:4" x14ac:dyDescent="0.25">
      <c r="A5612" s="7" t="s">
        <v>15286</v>
      </c>
      <c r="B5612" s="8" t="s">
        <v>15287</v>
      </c>
      <c r="C5612" s="8" t="s">
        <v>1865</v>
      </c>
      <c r="D5612" s="8" t="str">
        <f>"9789176853665"</f>
        <v>9789176853665</v>
      </c>
    </row>
    <row r="5613" spans="1:4" ht="30" x14ac:dyDescent="0.25">
      <c r="A5613" s="7" t="s">
        <v>3580</v>
      </c>
      <c r="B5613" s="8" t="s">
        <v>3581</v>
      </c>
      <c r="C5613" s="8" t="s">
        <v>1865</v>
      </c>
      <c r="D5613" s="8" t="str">
        <f>"9789176853597"</f>
        <v>9789176853597</v>
      </c>
    </row>
    <row r="5614" spans="1:4" x14ac:dyDescent="0.25">
      <c r="A5614" s="7" t="s">
        <v>8769</v>
      </c>
      <c r="B5614" s="8" t="s">
        <v>8770</v>
      </c>
      <c r="C5614" s="8" t="s">
        <v>2082</v>
      </c>
      <c r="D5614" s="8" t="str">
        <f>"9780472900480"</f>
        <v>9780472900480</v>
      </c>
    </row>
    <row r="5615" spans="1:4" x14ac:dyDescent="0.25">
      <c r="A5615" s="7" t="s">
        <v>7144</v>
      </c>
      <c r="B5615" s="8" t="s">
        <v>7145</v>
      </c>
      <c r="C5615" s="8" t="s">
        <v>355</v>
      </c>
      <c r="D5615" s="8" t="str">
        <f>"9783110616743"</f>
        <v>9783110616743</v>
      </c>
    </row>
    <row r="5616" spans="1:4" x14ac:dyDescent="0.25">
      <c r="A5616" s="7" t="s">
        <v>9900</v>
      </c>
      <c r="B5616" s="8" t="s">
        <v>9901</v>
      </c>
      <c r="C5616" s="8" t="s">
        <v>993</v>
      </c>
      <c r="D5616" s="8" t="str">
        <f>"9783839407639"</f>
        <v>9783839407639</v>
      </c>
    </row>
    <row r="5617" spans="1:4" x14ac:dyDescent="0.25">
      <c r="A5617" s="7" t="s">
        <v>13754</v>
      </c>
      <c r="B5617" s="8" t="s">
        <v>13755</v>
      </c>
      <c r="C5617" s="8" t="s">
        <v>5942</v>
      </c>
      <c r="D5617" s="8" t="str">
        <f>"9783662660355"</f>
        <v>9783662660355</v>
      </c>
    </row>
    <row r="5618" spans="1:4" x14ac:dyDescent="0.25">
      <c r="A5618" s="7" t="s">
        <v>5102</v>
      </c>
      <c r="B5618" s="8" t="s">
        <v>5103</v>
      </c>
      <c r="C5618" s="8" t="s">
        <v>2273</v>
      </c>
      <c r="D5618" s="8" t="str">
        <f>"9783030481261"</f>
        <v>9783030481261</v>
      </c>
    </row>
    <row r="5619" spans="1:4" x14ac:dyDescent="0.25">
      <c r="A5619" s="7" t="s">
        <v>11322</v>
      </c>
      <c r="B5619" s="8" t="s">
        <v>11323</v>
      </c>
      <c r="C5619" s="8" t="s">
        <v>355</v>
      </c>
      <c r="D5619" s="8" t="str">
        <f>"9783111704623"</f>
        <v>9783111704623</v>
      </c>
    </row>
    <row r="5620" spans="1:4" x14ac:dyDescent="0.25">
      <c r="A5620" s="7" t="s">
        <v>9736</v>
      </c>
      <c r="B5620" s="8" t="s">
        <v>9737</v>
      </c>
      <c r="C5620" s="8" t="s">
        <v>993</v>
      </c>
      <c r="D5620" s="8" t="str">
        <f>"9783839403129"</f>
        <v>9783839403129</v>
      </c>
    </row>
    <row r="5621" spans="1:4" x14ac:dyDescent="0.25">
      <c r="A5621" s="7" t="s">
        <v>11154</v>
      </c>
      <c r="B5621" s="8" t="s">
        <v>11155</v>
      </c>
      <c r="C5621" s="8" t="s">
        <v>355</v>
      </c>
      <c r="D5621" s="8" t="str">
        <f>"9783110720341"</f>
        <v>9783110720341</v>
      </c>
    </row>
    <row r="5622" spans="1:4" ht="30" x14ac:dyDescent="0.25">
      <c r="A5622" s="7" t="s">
        <v>7241</v>
      </c>
      <c r="B5622" s="8" t="s">
        <v>7242</v>
      </c>
      <c r="C5622" s="8" t="s">
        <v>355</v>
      </c>
      <c r="D5622" s="8" t="str">
        <f>"9783110682427"</f>
        <v>9783110682427</v>
      </c>
    </row>
    <row r="5623" spans="1:4" x14ac:dyDescent="0.25">
      <c r="A5623" s="7" t="s">
        <v>10476</v>
      </c>
      <c r="B5623" s="8" t="s">
        <v>10477</v>
      </c>
      <c r="C5623" s="8" t="s">
        <v>993</v>
      </c>
      <c r="D5623" s="8" t="str">
        <f>"9783839457597"</f>
        <v>9783839457597</v>
      </c>
    </row>
    <row r="5624" spans="1:4" x14ac:dyDescent="0.25">
      <c r="A5624" s="7" t="s">
        <v>9364</v>
      </c>
      <c r="B5624" s="8" t="s">
        <v>9365</v>
      </c>
      <c r="C5624" s="8" t="s">
        <v>9256</v>
      </c>
      <c r="D5624" s="8" t="str">
        <f>"9788021096325"</f>
        <v>9788021096325</v>
      </c>
    </row>
    <row r="5625" spans="1:4" x14ac:dyDescent="0.25">
      <c r="A5625" s="7" t="s">
        <v>6973</v>
      </c>
      <c r="B5625" s="8" t="s">
        <v>6974</v>
      </c>
      <c r="C5625" s="8" t="s">
        <v>329</v>
      </c>
      <c r="D5625" s="8" t="str">
        <f>"9789048534623"</f>
        <v>9789048534623</v>
      </c>
    </row>
    <row r="5626" spans="1:4" x14ac:dyDescent="0.25">
      <c r="A5626" s="7" t="s">
        <v>15034</v>
      </c>
      <c r="B5626" s="8" t="s">
        <v>15035</v>
      </c>
      <c r="C5626" s="8" t="s">
        <v>1865</v>
      </c>
      <c r="D5626" s="8" t="str">
        <f>"9789173939034"</f>
        <v>9789173939034</v>
      </c>
    </row>
    <row r="5627" spans="1:4" x14ac:dyDescent="0.25">
      <c r="A5627" s="7" t="s">
        <v>3394</v>
      </c>
      <c r="B5627" s="8" t="s">
        <v>3395</v>
      </c>
      <c r="C5627" s="8" t="s">
        <v>1865</v>
      </c>
      <c r="D5627" s="8" t="str">
        <f>"9789176854143"</f>
        <v>9789176854143</v>
      </c>
    </row>
    <row r="5628" spans="1:4" ht="30" x14ac:dyDescent="0.25">
      <c r="A5628" s="7" t="s">
        <v>8884</v>
      </c>
      <c r="B5628" s="8" t="s">
        <v>8885</v>
      </c>
      <c r="C5628" s="8" t="s">
        <v>2273</v>
      </c>
      <c r="D5628" s="8" t="str">
        <f>"9783030764296"</f>
        <v>9783030764296</v>
      </c>
    </row>
    <row r="5629" spans="1:4" ht="45" x14ac:dyDescent="0.25">
      <c r="A5629" s="7" t="s">
        <v>14191</v>
      </c>
      <c r="B5629" s="8" t="s">
        <v>138</v>
      </c>
      <c r="C5629" s="8" t="s">
        <v>9256</v>
      </c>
      <c r="D5629" s="8" t="str">
        <f>"9788028000080"</f>
        <v>9788028000080</v>
      </c>
    </row>
    <row r="5630" spans="1:4" x14ac:dyDescent="0.25">
      <c r="A5630" s="7" t="s">
        <v>9320</v>
      </c>
      <c r="B5630" s="8" t="s">
        <v>139</v>
      </c>
      <c r="C5630" s="8" t="s">
        <v>9256</v>
      </c>
      <c r="D5630" s="8" t="str">
        <f>"9788021095229"</f>
        <v>9788021095229</v>
      </c>
    </row>
    <row r="5631" spans="1:4" x14ac:dyDescent="0.25">
      <c r="A5631" s="7" t="s">
        <v>7370</v>
      </c>
      <c r="B5631" s="8" t="s">
        <v>7371</v>
      </c>
      <c r="C5631" s="8" t="s">
        <v>2273</v>
      </c>
      <c r="D5631" s="8" t="str">
        <f>"9783030725952"</f>
        <v>9783030725952</v>
      </c>
    </row>
    <row r="5632" spans="1:4" x14ac:dyDescent="0.25">
      <c r="A5632" s="7" t="s">
        <v>6109</v>
      </c>
      <c r="B5632" s="8" t="s">
        <v>6110</v>
      </c>
      <c r="C5632" s="8" t="s">
        <v>2273</v>
      </c>
      <c r="D5632" s="8" t="str">
        <f>"9783319466842"</f>
        <v>9783319466842</v>
      </c>
    </row>
    <row r="5633" spans="1:4" x14ac:dyDescent="0.25">
      <c r="A5633" s="7" t="s">
        <v>4850</v>
      </c>
      <c r="B5633" s="8" t="s">
        <v>4851</v>
      </c>
      <c r="C5633" s="8" t="s">
        <v>1865</v>
      </c>
      <c r="D5633" s="8" t="str">
        <f>"9789179298937"</f>
        <v>9789179298937</v>
      </c>
    </row>
    <row r="5634" spans="1:4" x14ac:dyDescent="0.25">
      <c r="A5634" s="7" t="s">
        <v>6699</v>
      </c>
      <c r="B5634" s="8" t="s">
        <v>6700</v>
      </c>
      <c r="C5634" s="8" t="s">
        <v>1865</v>
      </c>
      <c r="D5634" s="8" t="str">
        <f>"9789179297411"</f>
        <v>9789179297411</v>
      </c>
    </row>
    <row r="5635" spans="1:4" x14ac:dyDescent="0.25">
      <c r="A5635" s="7" t="s">
        <v>2673</v>
      </c>
      <c r="B5635" s="8" t="s">
        <v>2674</v>
      </c>
      <c r="C5635" s="8" t="s">
        <v>1879</v>
      </c>
      <c r="D5635" s="8" t="str">
        <f>"9781783741649"</f>
        <v>9781783741649</v>
      </c>
    </row>
    <row r="5636" spans="1:4" ht="30" x14ac:dyDescent="0.25">
      <c r="A5636" s="7" t="s">
        <v>2756</v>
      </c>
      <c r="B5636" s="8" t="s">
        <v>1907</v>
      </c>
      <c r="C5636" s="8" t="s">
        <v>1879</v>
      </c>
      <c r="D5636" s="8" t="str">
        <f>"9781783740840"</f>
        <v>9781783740840</v>
      </c>
    </row>
    <row r="5637" spans="1:4" ht="30" x14ac:dyDescent="0.25">
      <c r="A5637" s="7" t="s">
        <v>3563</v>
      </c>
      <c r="B5637" s="8" t="s">
        <v>3564</v>
      </c>
      <c r="C5637" s="8" t="s">
        <v>1865</v>
      </c>
      <c r="D5637" s="8" t="str">
        <f>"9789176853818"</f>
        <v>9789176853818</v>
      </c>
    </row>
    <row r="5638" spans="1:4" ht="30" x14ac:dyDescent="0.25">
      <c r="A5638" s="7" t="s">
        <v>15800</v>
      </c>
      <c r="B5638" s="8" t="s">
        <v>4793</v>
      </c>
      <c r="C5638" s="8" t="s">
        <v>1865</v>
      </c>
      <c r="D5638" s="8" t="str">
        <f>"9789175192093"</f>
        <v>9789175192093</v>
      </c>
    </row>
    <row r="5639" spans="1:4" x14ac:dyDescent="0.25">
      <c r="A5639" s="7" t="s">
        <v>14555</v>
      </c>
      <c r="B5639" s="8" t="s">
        <v>14556</v>
      </c>
      <c r="C5639" s="8" t="s">
        <v>1865</v>
      </c>
      <c r="D5639" s="8" t="str">
        <f>"9789179293338"</f>
        <v>9789179293338</v>
      </c>
    </row>
    <row r="5640" spans="1:4" x14ac:dyDescent="0.25">
      <c r="A5640" s="7" t="s">
        <v>8010</v>
      </c>
      <c r="B5640" s="8" t="s">
        <v>8011</v>
      </c>
      <c r="C5640" s="8" t="s">
        <v>1962</v>
      </c>
      <c r="D5640" s="8" t="str">
        <f>"9782759232758"</f>
        <v>9782759232758</v>
      </c>
    </row>
    <row r="5641" spans="1:4" x14ac:dyDescent="0.25">
      <c r="A5641" s="7" t="s">
        <v>12826</v>
      </c>
      <c r="B5641" s="8" t="s">
        <v>12816</v>
      </c>
      <c r="C5641" s="8" t="s">
        <v>12712</v>
      </c>
      <c r="D5641" s="8" t="str">
        <f>"9783428429868"</f>
        <v>9783428429868</v>
      </c>
    </row>
    <row r="5642" spans="1:4" x14ac:dyDescent="0.25">
      <c r="A5642" s="7" t="s">
        <v>12834</v>
      </c>
      <c r="B5642" s="8" t="s">
        <v>12816</v>
      </c>
      <c r="C5642" s="8" t="s">
        <v>12712</v>
      </c>
      <c r="D5642" s="8" t="str">
        <f>"9783428433018"</f>
        <v>9783428433018</v>
      </c>
    </row>
    <row r="5643" spans="1:4" x14ac:dyDescent="0.25">
      <c r="A5643" s="7" t="s">
        <v>12837</v>
      </c>
      <c r="B5643" s="8" t="s">
        <v>12838</v>
      </c>
      <c r="C5643" s="8" t="s">
        <v>12712</v>
      </c>
      <c r="D5643" s="8" t="str">
        <f>"9783428433780"</f>
        <v>9783428433780</v>
      </c>
    </row>
    <row r="5644" spans="1:4" x14ac:dyDescent="0.25">
      <c r="A5644" s="7" t="s">
        <v>12851</v>
      </c>
      <c r="B5644" s="8" t="s">
        <v>12838</v>
      </c>
      <c r="C5644" s="8" t="s">
        <v>12712</v>
      </c>
      <c r="D5644" s="8" t="str">
        <f>"9783428436187"</f>
        <v>9783428436187</v>
      </c>
    </row>
    <row r="5645" spans="1:4" x14ac:dyDescent="0.25">
      <c r="A5645" s="7" t="s">
        <v>12865</v>
      </c>
      <c r="B5645" s="8" t="s">
        <v>12838</v>
      </c>
      <c r="C5645" s="8" t="s">
        <v>12712</v>
      </c>
      <c r="D5645" s="8" t="str">
        <f>"9783428439140"</f>
        <v>9783428439140</v>
      </c>
    </row>
    <row r="5646" spans="1:4" ht="30" x14ac:dyDescent="0.25">
      <c r="A5646" s="7" t="s">
        <v>12057</v>
      </c>
      <c r="B5646" s="8" t="s">
        <v>12058</v>
      </c>
      <c r="C5646" s="8" t="s">
        <v>355</v>
      </c>
      <c r="D5646" s="8" t="str">
        <f>"9783486707465"</f>
        <v>9783486707465</v>
      </c>
    </row>
    <row r="5647" spans="1:4" x14ac:dyDescent="0.25">
      <c r="A5647" s="7" t="s">
        <v>6495</v>
      </c>
      <c r="B5647" s="8" t="s">
        <v>6496</v>
      </c>
      <c r="C5647" s="8" t="s">
        <v>5086</v>
      </c>
      <c r="D5647" s="8" t="str">
        <f>"9783658321062"</f>
        <v>9783658321062</v>
      </c>
    </row>
    <row r="5648" spans="1:4" x14ac:dyDescent="0.25">
      <c r="A5648" s="7" t="s">
        <v>11518</v>
      </c>
      <c r="B5648" s="8" t="s">
        <v>11519</v>
      </c>
      <c r="C5648" s="8" t="s">
        <v>355</v>
      </c>
      <c r="D5648" s="8" t="str">
        <f>"9783110614244"</f>
        <v>9783110614244</v>
      </c>
    </row>
    <row r="5649" spans="1:4" ht="30" x14ac:dyDescent="0.25">
      <c r="A5649" s="7" t="s">
        <v>5854</v>
      </c>
      <c r="B5649" s="8" t="s">
        <v>5855</v>
      </c>
      <c r="C5649" s="8" t="s">
        <v>5086</v>
      </c>
      <c r="D5649" s="8" t="str">
        <f>"9783658280086"</f>
        <v>9783658280086</v>
      </c>
    </row>
    <row r="5650" spans="1:4" ht="45" x14ac:dyDescent="0.25">
      <c r="A5650" s="7" t="s">
        <v>1133</v>
      </c>
      <c r="B5650" s="8" t="s">
        <v>1134</v>
      </c>
      <c r="C5650" s="8" t="s">
        <v>316</v>
      </c>
      <c r="D5650" s="8" t="str">
        <f>"9783110877342"</f>
        <v>9783110877342</v>
      </c>
    </row>
    <row r="5651" spans="1:4" ht="30" x14ac:dyDescent="0.25">
      <c r="A5651" s="7" t="s">
        <v>10442</v>
      </c>
      <c r="B5651" s="8" t="s">
        <v>10443</v>
      </c>
      <c r="C5651" s="8" t="s">
        <v>993</v>
      </c>
      <c r="D5651" s="8" t="str">
        <f>"9783839456804"</f>
        <v>9783839456804</v>
      </c>
    </row>
    <row r="5652" spans="1:4" ht="75" x14ac:dyDescent="0.25">
      <c r="A5652" s="7" t="s">
        <v>1019</v>
      </c>
      <c r="B5652" s="8" t="s">
        <v>1020</v>
      </c>
      <c r="C5652" s="8" t="s">
        <v>316</v>
      </c>
      <c r="D5652" s="8" t="str">
        <f>"9783110419122"</f>
        <v>9783110419122</v>
      </c>
    </row>
    <row r="5653" spans="1:4" ht="45" x14ac:dyDescent="0.25">
      <c r="A5653" s="7" t="s">
        <v>12843</v>
      </c>
      <c r="B5653" s="8" t="s">
        <v>12800</v>
      </c>
      <c r="C5653" s="8" t="s">
        <v>12712</v>
      </c>
      <c r="D5653" s="8" t="str">
        <f>"9783428434404"</f>
        <v>9783428434404</v>
      </c>
    </row>
    <row r="5654" spans="1:4" ht="30" x14ac:dyDescent="0.25">
      <c r="A5654" s="7" t="s">
        <v>12984</v>
      </c>
      <c r="B5654" s="8" t="s">
        <v>12985</v>
      </c>
      <c r="C5654" s="8" t="s">
        <v>12712</v>
      </c>
      <c r="D5654" s="8" t="str">
        <f>"9783428460823"</f>
        <v>9783428460823</v>
      </c>
    </row>
    <row r="5655" spans="1:4" x14ac:dyDescent="0.25">
      <c r="A5655" s="7" t="s">
        <v>12860</v>
      </c>
      <c r="B5655" s="8" t="s">
        <v>12861</v>
      </c>
      <c r="C5655" s="8" t="s">
        <v>12712</v>
      </c>
      <c r="D5655" s="8" t="str">
        <f>"9783428437986"</f>
        <v>9783428437986</v>
      </c>
    </row>
    <row r="5656" spans="1:4" ht="30" x14ac:dyDescent="0.25">
      <c r="A5656" s="7" t="s">
        <v>1639</v>
      </c>
      <c r="B5656" s="8" t="s">
        <v>1640</v>
      </c>
      <c r="C5656" s="8" t="s">
        <v>1345</v>
      </c>
      <c r="D5656" s="8" t="str">
        <f>"9783862191550"</f>
        <v>9783862191550</v>
      </c>
    </row>
    <row r="5657" spans="1:4" x14ac:dyDescent="0.25">
      <c r="A5657" s="7" t="s">
        <v>12879</v>
      </c>
      <c r="B5657" s="8" t="s">
        <v>12880</v>
      </c>
      <c r="C5657" s="8" t="s">
        <v>12712</v>
      </c>
      <c r="D5657" s="8" t="str">
        <f>"9783428441792"</f>
        <v>9783428441792</v>
      </c>
    </row>
    <row r="5658" spans="1:4" ht="30" x14ac:dyDescent="0.25">
      <c r="A5658" s="7" t="s">
        <v>844</v>
      </c>
      <c r="B5658" s="8" t="s">
        <v>845</v>
      </c>
      <c r="C5658" s="8" t="s">
        <v>355</v>
      </c>
      <c r="D5658" s="8" t="str">
        <f>"9783110348750"</f>
        <v>9783110348750</v>
      </c>
    </row>
    <row r="5659" spans="1:4" x14ac:dyDescent="0.25">
      <c r="A5659" s="7" t="s">
        <v>11774</v>
      </c>
      <c r="B5659" s="8" t="s">
        <v>11775</v>
      </c>
      <c r="C5659" s="8" t="s">
        <v>355</v>
      </c>
      <c r="D5659" s="8" t="str">
        <f>"9783110724127"</f>
        <v>9783110724127</v>
      </c>
    </row>
    <row r="5660" spans="1:4" x14ac:dyDescent="0.25">
      <c r="A5660" s="7" t="s">
        <v>15588</v>
      </c>
      <c r="B5660" s="8" t="s">
        <v>15589</v>
      </c>
      <c r="C5660" s="8" t="s">
        <v>1865</v>
      </c>
      <c r="D5660" s="8" t="str">
        <f>"9789175194479"</f>
        <v>9789175194479</v>
      </c>
    </row>
    <row r="5661" spans="1:4" x14ac:dyDescent="0.25">
      <c r="A5661" s="7" t="s">
        <v>6309</v>
      </c>
      <c r="B5661" s="8" t="s">
        <v>6310</v>
      </c>
      <c r="C5661" s="8" t="s">
        <v>2273</v>
      </c>
      <c r="D5661" s="8" t="str">
        <f>"9783030640224"</f>
        <v>9783030640224</v>
      </c>
    </row>
    <row r="5662" spans="1:4" x14ac:dyDescent="0.25">
      <c r="A5662" s="7" t="s">
        <v>16028</v>
      </c>
      <c r="B5662" s="8" t="s">
        <v>4815</v>
      </c>
      <c r="C5662" s="8" t="s">
        <v>1865</v>
      </c>
      <c r="D5662" s="8" t="str">
        <f>"9789173939812"</f>
        <v>9789173939812</v>
      </c>
    </row>
    <row r="5663" spans="1:4" x14ac:dyDescent="0.25">
      <c r="A5663" s="7" t="s">
        <v>11309</v>
      </c>
      <c r="B5663" s="8" t="s">
        <v>11310</v>
      </c>
      <c r="C5663" s="8" t="s">
        <v>355</v>
      </c>
      <c r="D5663" s="8" t="str">
        <f>"9783110591415"</f>
        <v>9783110591415</v>
      </c>
    </row>
    <row r="5664" spans="1:4" ht="30" x14ac:dyDescent="0.25">
      <c r="A5664" s="7" t="s">
        <v>2178</v>
      </c>
      <c r="B5664" s="8" t="s">
        <v>2179</v>
      </c>
      <c r="C5664" s="8" t="s">
        <v>329</v>
      </c>
      <c r="D5664" s="8" t="str">
        <f>"9789048516193"</f>
        <v>9789048516193</v>
      </c>
    </row>
    <row r="5665" spans="1:4" x14ac:dyDescent="0.25">
      <c r="A5665" s="7" t="s">
        <v>5468</v>
      </c>
      <c r="B5665" s="8" t="s">
        <v>5443</v>
      </c>
      <c r="C5665" s="8" t="s">
        <v>5064</v>
      </c>
      <c r="D5665" s="8" t="str">
        <f>"9789814583220"</f>
        <v>9789814583220</v>
      </c>
    </row>
    <row r="5666" spans="1:4" x14ac:dyDescent="0.25">
      <c r="A5666" s="7" t="s">
        <v>5470</v>
      </c>
      <c r="B5666" s="8" t="s">
        <v>5443</v>
      </c>
      <c r="C5666" s="8" t="s">
        <v>5064</v>
      </c>
      <c r="D5666" s="8" t="str">
        <f>"9789814644730"</f>
        <v>9789814644730</v>
      </c>
    </row>
    <row r="5667" spans="1:4" x14ac:dyDescent="0.25">
      <c r="A5667" s="7" t="s">
        <v>10413</v>
      </c>
      <c r="B5667" s="8" t="s">
        <v>10414</v>
      </c>
      <c r="C5667" s="8" t="s">
        <v>993</v>
      </c>
      <c r="D5667" s="8" t="str">
        <f>"9783839455777"</f>
        <v>9783839455777</v>
      </c>
    </row>
    <row r="5668" spans="1:4" ht="30" x14ac:dyDescent="0.25">
      <c r="A5668" s="7" t="s">
        <v>5516</v>
      </c>
      <c r="B5668" s="8" t="s">
        <v>5517</v>
      </c>
      <c r="C5668" s="8" t="s">
        <v>1865</v>
      </c>
      <c r="D5668" s="8" t="str">
        <f>"9789179297862"</f>
        <v>9789179297862</v>
      </c>
    </row>
    <row r="5669" spans="1:4" x14ac:dyDescent="0.25">
      <c r="A5669" s="7" t="s">
        <v>4567</v>
      </c>
      <c r="B5669" s="8" t="s">
        <v>4568</v>
      </c>
      <c r="C5669" s="8" t="s">
        <v>355</v>
      </c>
      <c r="D5669" s="8" t="str">
        <f>"9783110567496"</f>
        <v>9783110567496</v>
      </c>
    </row>
    <row r="5670" spans="1:4" x14ac:dyDescent="0.25">
      <c r="A5670" s="7" t="s">
        <v>15906</v>
      </c>
      <c r="B5670" s="8" t="s">
        <v>2736</v>
      </c>
      <c r="C5670" s="8" t="s">
        <v>1865</v>
      </c>
      <c r="D5670" s="8" t="str">
        <f>"9789175199320"</f>
        <v>9789175199320</v>
      </c>
    </row>
    <row r="5671" spans="1:4" x14ac:dyDescent="0.25">
      <c r="A5671" s="7" t="s">
        <v>876</v>
      </c>
      <c r="B5671" s="8" t="s">
        <v>877</v>
      </c>
      <c r="C5671" s="8" t="s">
        <v>316</v>
      </c>
      <c r="D5671" s="8" t="str">
        <f>"9783110246124"</f>
        <v>9783110246124</v>
      </c>
    </row>
    <row r="5672" spans="1:4" x14ac:dyDescent="0.25">
      <c r="A5672" s="7" t="s">
        <v>4548</v>
      </c>
      <c r="B5672" s="8"/>
      <c r="C5672" s="8" t="s">
        <v>4332</v>
      </c>
      <c r="D5672" s="8" t="str">
        <f>"9781942401018"</f>
        <v>9781942401018</v>
      </c>
    </row>
    <row r="5673" spans="1:4" x14ac:dyDescent="0.25">
      <c r="A5673" s="7" t="s">
        <v>8596</v>
      </c>
      <c r="B5673" s="8" t="s">
        <v>8597</v>
      </c>
      <c r="C5673" s="8" t="s">
        <v>2273</v>
      </c>
      <c r="D5673" s="8" t="str">
        <f>"9783030783341"</f>
        <v>9783030783341</v>
      </c>
    </row>
    <row r="5674" spans="1:4" x14ac:dyDescent="0.25">
      <c r="A5674" s="7" t="s">
        <v>11061</v>
      </c>
      <c r="B5674" s="8" t="s">
        <v>11062</v>
      </c>
      <c r="C5674" s="8" t="s">
        <v>6704</v>
      </c>
      <c r="D5674" s="8" t="str">
        <f>"9780472901692"</f>
        <v>9780472901692</v>
      </c>
    </row>
    <row r="5675" spans="1:4" x14ac:dyDescent="0.25">
      <c r="A5675" s="7" t="s">
        <v>901</v>
      </c>
      <c r="B5675" s="8" t="s">
        <v>902</v>
      </c>
      <c r="C5675" s="8" t="s">
        <v>316</v>
      </c>
      <c r="D5675" s="8" t="str">
        <f>"9783110371413"</f>
        <v>9783110371413</v>
      </c>
    </row>
    <row r="5676" spans="1:4" x14ac:dyDescent="0.25">
      <c r="A5676" s="7" t="s">
        <v>3978</v>
      </c>
      <c r="B5676" s="8" t="s">
        <v>13</v>
      </c>
      <c r="C5676" s="8" t="s">
        <v>355</v>
      </c>
      <c r="D5676" s="8" t="str">
        <f>"9783110583717"</f>
        <v>9783110583717</v>
      </c>
    </row>
    <row r="5677" spans="1:4" x14ac:dyDescent="0.25">
      <c r="A5677" s="7" t="s">
        <v>14064</v>
      </c>
      <c r="B5677" s="8" t="s">
        <v>14065</v>
      </c>
      <c r="C5677" s="8" t="s">
        <v>13997</v>
      </c>
      <c r="D5677" s="8" t="str">
        <f>"9789568416942"</f>
        <v>9789568416942</v>
      </c>
    </row>
    <row r="5678" spans="1:4" x14ac:dyDescent="0.25">
      <c r="A5678" s="7" t="s">
        <v>11248</v>
      </c>
      <c r="B5678" s="8" t="s">
        <v>4091</v>
      </c>
      <c r="C5678" s="8" t="s">
        <v>355</v>
      </c>
      <c r="D5678" s="8" t="str">
        <f>"9783110712247"</f>
        <v>9783110712247</v>
      </c>
    </row>
    <row r="5679" spans="1:4" ht="30" x14ac:dyDescent="0.25">
      <c r="A5679" s="7" t="s">
        <v>7106</v>
      </c>
      <c r="B5679" s="8" t="s">
        <v>7107</v>
      </c>
      <c r="C5679" s="8" t="s">
        <v>355</v>
      </c>
      <c r="D5679" s="8" t="str">
        <f>"9783110669831"</f>
        <v>9783110669831</v>
      </c>
    </row>
    <row r="5680" spans="1:4" ht="30" x14ac:dyDescent="0.25">
      <c r="A5680" s="7" t="s">
        <v>10548</v>
      </c>
      <c r="B5680" s="8" t="s">
        <v>10549</v>
      </c>
      <c r="C5680" s="8" t="s">
        <v>993</v>
      </c>
      <c r="D5680" s="8" t="str">
        <f>"9783839459638"</f>
        <v>9783839459638</v>
      </c>
    </row>
    <row r="5681" spans="1:4" ht="30" x14ac:dyDescent="0.25">
      <c r="A5681" s="7" t="s">
        <v>9940</v>
      </c>
      <c r="B5681" s="8" t="s">
        <v>9941</v>
      </c>
      <c r="C5681" s="8" t="s">
        <v>993</v>
      </c>
      <c r="D5681" s="8" t="str">
        <f>"9783839408421"</f>
        <v>9783839408421</v>
      </c>
    </row>
    <row r="5682" spans="1:4" x14ac:dyDescent="0.25">
      <c r="A5682" s="7" t="s">
        <v>9685</v>
      </c>
      <c r="B5682" s="8" t="s">
        <v>5391</v>
      </c>
      <c r="C5682" s="8" t="s">
        <v>993</v>
      </c>
      <c r="D5682" s="8" t="str">
        <f>"9783839401484"</f>
        <v>9783839401484</v>
      </c>
    </row>
    <row r="5683" spans="1:4" ht="30" x14ac:dyDescent="0.25">
      <c r="A5683" s="7" t="s">
        <v>11422</v>
      </c>
      <c r="B5683" s="8" t="s">
        <v>11423</v>
      </c>
      <c r="C5683" s="8" t="s">
        <v>355</v>
      </c>
      <c r="D5683" s="8" t="str">
        <f>"9783110707489"</f>
        <v>9783110707489</v>
      </c>
    </row>
    <row r="5684" spans="1:4" x14ac:dyDescent="0.25">
      <c r="A5684" s="7" t="s">
        <v>16144</v>
      </c>
      <c r="B5684" s="8" t="s">
        <v>4578</v>
      </c>
      <c r="C5684" s="8" t="s">
        <v>1865</v>
      </c>
      <c r="D5684" s="8" t="str">
        <f>"9789176854488"</f>
        <v>9789176854488</v>
      </c>
    </row>
    <row r="5685" spans="1:4" x14ac:dyDescent="0.25">
      <c r="A5685" s="7" t="s">
        <v>6618</v>
      </c>
      <c r="B5685" s="8" t="s">
        <v>6619</v>
      </c>
      <c r="C5685" s="8" t="s">
        <v>1865</v>
      </c>
      <c r="D5685" s="8" t="str">
        <f>"9789179296971"</f>
        <v>9789179296971</v>
      </c>
    </row>
    <row r="5686" spans="1:4" x14ac:dyDescent="0.25">
      <c r="A5686" s="7" t="s">
        <v>9954</v>
      </c>
      <c r="B5686" s="8" t="s">
        <v>9955</v>
      </c>
      <c r="C5686" s="8" t="s">
        <v>993</v>
      </c>
      <c r="D5686" s="8" t="str">
        <f>"9783839408704"</f>
        <v>9783839408704</v>
      </c>
    </row>
    <row r="5687" spans="1:4" x14ac:dyDescent="0.25">
      <c r="A5687" s="7" t="s">
        <v>7974</v>
      </c>
      <c r="B5687" s="8" t="s">
        <v>7975</v>
      </c>
      <c r="C5687" s="8" t="s">
        <v>1962</v>
      </c>
      <c r="D5687" s="8" t="str">
        <f>"9782759222230"</f>
        <v>9782759222230</v>
      </c>
    </row>
    <row r="5688" spans="1:4" x14ac:dyDescent="0.25">
      <c r="A5688" s="7" t="s">
        <v>8766</v>
      </c>
      <c r="B5688" s="8" t="s">
        <v>8767</v>
      </c>
      <c r="C5688" s="8" t="s">
        <v>2273</v>
      </c>
      <c r="D5688" s="8" t="str">
        <f>"9783030868116"</f>
        <v>9783030868116</v>
      </c>
    </row>
    <row r="5689" spans="1:4" x14ac:dyDescent="0.25">
      <c r="A5689" s="7" t="s">
        <v>10384</v>
      </c>
      <c r="B5689" s="8" t="s">
        <v>10385</v>
      </c>
      <c r="C5689" s="8" t="s">
        <v>993</v>
      </c>
      <c r="D5689" s="8" t="str">
        <f>"9783839454213"</f>
        <v>9783839454213</v>
      </c>
    </row>
    <row r="5690" spans="1:4" x14ac:dyDescent="0.25">
      <c r="A5690" s="7" t="s">
        <v>6385</v>
      </c>
      <c r="B5690" s="8" t="s">
        <v>6386</v>
      </c>
      <c r="C5690" s="8" t="s">
        <v>2273</v>
      </c>
      <c r="D5690" s="8" t="str">
        <f>"9783030663032"</f>
        <v>9783030663032</v>
      </c>
    </row>
    <row r="5691" spans="1:4" x14ac:dyDescent="0.25">
      <c r="A5691" s="7" t="s">
        <v>6098</v>
      </c>
      <c r="B5691" s="8" t="s">
        <v>6099</v>
      </c>
      <c r="C5691" s="8" t="s">
        <v>2273</v>
      </c>
      <c r="D5691" s="8" t="str">
        <f>"9783319469393"</f>
        <v>9783319469393</v>
      </c>
    </row>
    <row r="5692" spans="1:4" x14ac:dyDescent="0.25">
      <c r="A5692" s="7" t="s">
        <v>4879</v>
      </c>
      <c r="B5692" s="8" t="s">
        <v>4880</v>
      </c>
      <c r="C5692" s="8" t="s">
        <v>562</v>
      </c>
      <c r="D5692" s="8" t="str">
        <f>"9781478007531"</f>
        <v>9781478007531</v>
      </c>
    </row>
    <row r="5693" spans="1:4" ht="45" x14ac:dyDescent="0.25">
      <c r="A5693" s="7" t="s">
        <v>1168</v>
      </c>
      <c r="B5693" s="8" t="s">
        <v>1169</v>
      </c>
      <c r="C5693" s="8" t="s">
        <v>316</v>
      </c>
      <c r="D5693" s="8" t="str">
        <f>"9783110874907"</f>
        <v>9783110874907</v>
      </c>
    </row>
    <row r="5694" spans="1:4" x14ac:dyDescent="0.25">
      <c r="A5694" s="7" t="s">
        <v>11230</v>
      </c>
      <c r="B5694" s="8" t="s">
        <v>11231</v>
      </c>
      <c r="C5694" s="8" t="s">
        <v>355</v>
      </c>
      <c r="D5694" s="8" t="str">
        <f>"9783486594614"</f>
        <v>9783486594614</v>
      </c>
    </row>
    <row r="5695" spans="1:4" ht="45" x14ac:dyDescent="0.25">
      <c r="A5695" s="7" t="s">
        <v>1102</v>
      </c>
      <c r="B5695" s="8" t="s">
        <v>1103</v>
      </c>
      <c r="C5695" s="8" t="s">
        <v>316</v>
      </c>
      <c r="D5695" s="8" t="str">
        <f>"9783110905885"</f>
        <v>9783110905885</v>
      </c>
    </row>
    <row r="5696" spans="1:4" x14ac:dyDescent="0.25">
      <c r="A5696" s="7" t="s">
        <v>8648</v>
      </c>
      <c r="B5696" s="8" t="s">
        <v>8649</v>
      </c>
      <c r="C5696" s="8" t="s">
        <v>2273</v>
      </c>
      <c r="D5696" s="8" t="str">
        <f>"9783030805197"</f>
        <v>9783030805197</v>
      </c>
    </row>
    <row r="5697" spans="1:4" x14ac:dyDescent="0.25">
      <c r="A5697" s="7" t="s">
        <v>6345</v>
      </c>
      <c r="B5697" s="8" t="s">
        <v>6346</v>
      </c>
      <c r="C5697" s="8" t="s">
        <v>1865</v>
      </c>
      <c r="D5697" s="8" t="str">
        <f>"9789179298012"</f>
        <v>9789179298012</v>
      </c>
    </row>
    <row r="5698" spans="1:4" x14ac:dyDescent="0.25">
      <c r="A5698" s="7" t="s">
        <v>15147</v>
      </c>
      <c r="B5698" s="8" t="s">
        <v>15148</v>
      </c>
      <c r="C5698" s="8" t="s">
        <v>1865</v>
      </c>
      <c r="D5698" s="8" t="str">
        <f>"9789175191164"</f>
        <v>9789175191164</v>
      </c>
    </row>
    <row r="5699" spans="1:4" ht="30" x14ac:dyDescent="0.25">
      <c r="A5699" s="7" t="s">
        <v>12216</v>
      </c>
      <c r="B5699" s="8" t="s">
        <v>12217</v>
      </c>
      <c r="C5699" s="8" t="s">
        <v>2273</v>
      </c>
      <c r="D5699" s="8" t="str">
        <f>"9783031095931"</f>
        <v>9783031095931</v>
      </c>
    </row>
    <row r="5700" spans="1:4" x14ac:dyDescent="0.25">
      <c r="A5700" s="7" t="s">
        <v>5146</v>
      </c>
      <c r="B5700" s="8" t="s">
        <v>5147</v>
      </c>
      <c r="C5700" s="8" t="s">
        <v>2273</v>
      </c>
      <c r="D5700" s="8" t="str">
        <f>"9783030382070"</f>
        <v>9783030382070</v>
      </c>
    </row>
    <row r="5701" spans="1:4" x14ac:dyDescent="0.25">
      <c r="A5701" s="7" t="s">
        <v>5154</v>
      </c>
      <c r="B5701" s="8" t="s">
        <v>5155</v>
      </c>
      <c r="C5701" s="8" t="s">
        <v>2273</v>
      </c>
      <c r="D5701" s="8" t="str">
        <f>"9783030353186"</f>
        <v>9783030353186</v>
      </c>
    </row>
    <row r="5702" spans="1:4" ht="30" x14ac:dyDescent="0.25">
      <c r="A5702" s="7" t="s">
        <v>13797</v>
      </c>
      <c r="B5702" s="8" t="s">
        <v>13798</v>
      </c>
      <c r="C5702" s="8" t="s">
        <v>2273</v>
      </c>
      <c r="D5702" s="8" t="str">
        <f>"9783031088766"</f>
        <v>9783031088766</v>
      </c>
    </row>
    <row r="5703" spans="1:4" ht="30" x14ac:dyDescent="0.25">
      <c r="A5703" s="7" t="s">
        <v>15205</v>
      </c>
      <c r="B5703" s="8" t="s">
        <v>15206</v>
      </c>
      <c r="C5703" s="8" t="s">
        <v>1865</v>
      </c>
      <c r="D5703" s="8" t="str">
        <f>"9789175191072"</f>
        <v>9789175191072</v>
      </c>
    </row>
    <row r="5704" spans="1:4" x14ac:dyDescent="0.25">
      <c r="A5704" s="7" t="s">
        <v>11098</v>
      </c>
      <c r="B5704" s="8" t="s">
        <v>11099</v>
      </c>
      <c r="C5704" s="8" t="s">
        <v>2082</v>
      </c>
      <c r="D5704" s="8" t="str">
        <f>"9780472900015"</f>
        <v>9780472900015</v>
      </c>
    </row>
    <row r="5705" spans="1:4" ht="30" x14ac:dyDescent="0.25">
      <c r="A5705" s="7" t="s">
        <v>3406</v>
      </c>
      <c r="B5705" s="8" t="s">
        <v>3407</v>
      </c>
      <c r="C5705" s="8" t="s">
        <v>1345</v>
      </c>
      <c r="D5705" s="8" t="str">
        <f>"9783737603898"</f>
        <v>9783737603898</v>
      </c>
    </row>
    <row r="5706" spans="1:4" x14ac:dyDescent="0.25">
      <c r="A5706" s="7" t="s">
        <v>12085</v>
      </c>
      <c r="B5706" s="8" t="s">
        <v>12086</v>
      </c>
      <c r="C5706" s="8" t="s">
        <v>355</v>
      </c>
      <c r="D5706" s="8" t="str">
        <f>"9783110732221"</f>
        <v>9783110732221</v>
      </c>
    </row>
    <row r="5707" spans="1:4" x14ac:dyDescent="0.25">
      <c r="A5707" s="7" t="s">
        <v>7903</v>
      </c>
      <c r="B5707" s="8" t="s">
        <v>7904</v>
      </c>
      <c r="C5707" s="8" t="s">
        <v>5086</v>
      </c>
      <c r="D5707" s="8" t="str">
        <f>"9783658353834"</f>
        <v>9783658353834</v>
      </c>
    </row>
    <row r="5708" spans="1:4" ht="30" x14ac:dyDescent="0.25">
      <c r="A5708" s="7" t="s">
        <v>3768</v>
      </c>
      <c r="B5708" s="8" t="s">
        <v>3769</v>
      </c>
      <c r="C5708" s="8" t="s">
        <v>1345</v>
      </c>
      <c r="D5708" s="8" t="str">
        <f>"9783737603379"</f>
        <v>9783737603379</v>
      </c>
    </row>
    <row r="5709" spans="1:4" ht="30" x14ac:dyDescent="0.25">
      <c r="A5709" s="7" t="s">
        <v>15938</v>
      </c>
      <c r="B5709" s="8" t="s">
        <v>15939</v>
      </c>
      <c r="C5709" s="8" t="s">
        <v>1865</v>
      </c>
      <c r="D5709" s="8" t="str">
        <f>"9789179296032"</f>
        <v>9789179296032</v>
      </c>
    </row>
    <row r="5710" spans="1:4" ht="30" x14ac:dyDescent="0.25">
      <c r="A5710" s="7" t="s">
        <v>9944</v>
      </c>
      <c r="B5710" s="8" t="s">
        <v>9945</v>
      </c>
      <c r="C5710" s="8" t="s">
        <v>993</v>
      </c>
      <c r="D5710" s="8" t="str">
        <f>"9783839408469"</f>
        <v>9783839408469</v>
      </c>
    </row>
    <row r="5711" spans="1:4" x14ac:dyDescent="0.25">
      <c r="A5711" s="7" t="s">
        <v>1772</v>
      </c>
      <c r="B5711" s="8" t="s">
        <v>1773</v>
      </c>
      <c r="C5711" s="8" t="s">
        <v>1345</v>
      </c>
      <c r="D5711" s="8" t="str">
        <f>"9783862197699"</f>
        <v>9783862197699</v>
      </c>
    </row>
    <row r="5712" spans="1:4" ht="30" x14ac:dyDescent="0.25">
      <c r="A5712" s="7" t="s">
        <v>7602</v>
      </c>
      <c r="B5712" s="8" t="s">
        <v>7603</v>
      </c>
      <c r="C5712" s="8" t="s">
        <v>993</v>
      </c>
      <c r="D5712" s="8" t="str">
        <f>"9783839419649"</f>
        <v>9783839419649</v>
      </c>
    </row>
    <row r="5713" spans="1:4" ht="30" x14ac:dyDescent="0.25">
      <c r="A5713" s="7" t="s">
        <v>12624</v>
      </c>
      <c r="B5713" s="8" t="s">
        <v>12625</v>
      </c>
      <c r="C5713" s="8" t="s">
        <v>2274</v>
      </c>
      <c r="D5713" s="8" t="str">
        <f>"9789811927836"</f>
        <v>9789811927836</v>
      </c>
    </row>
    <row r="5714" spans="1:4" x14ac:dyDescent="0.25">
      <c r="A5714" s="7" t="s">
        <v>5088</v>
      </c>
      <c r="B5714" s="8" t="s">
        <v>5089</v>
      </c>
      <c r="C5714" s="8" t="s">
        <v>2273</v>
      </c>
      <c r="D5714" s="8" t="str">
        <f>"9783030475451"</f>
        <v>9783030475451</v>
      </c>
    </row>
    <row r="5715" spans="1:4" x14ac:dyDescent="0.25">
      <c r="A5715" s="7" t="s">
        <v>2278</v>
      </c>
      <c r="B5715" s="8" t="s">
        <v>2279</v>
      </c>
      <c r="C5715" s="8" t="s">
        <v>355</v>
      </c>
      <c r="D5715" s="8" t="str">
        <f>"9783110452440"</f>
        <v>9783110452440</v>
      </c>
    </row>
    <row r="5716" spans="1:4" x14ac:dyDescent="0.25">
      <c r="A5716" s="7" t="s">
        <v>15775</v>
      </c>
      <c r="B5716" s="8" t="s">
        <v>15776</v>
      </c>
      <c r="C5716" s="8" t="s">
        <v>1865</v>
      </c>
      <c r="D5716" s="8" t="str">
        <f>"9789175193717"</f>
        <v>9789175193717</v>
      </c>
    </row>
    <row r="5717" spans="1:4" x14ac:dyDescent="0.25">
      <c r="A5717" s="7" t="s">
        <v>16390</v>
      </c>
      <c r="B5717" s="8" t="s">
        <v>16139</v>
      </c>
      <c r="C5717" s="8" t="s">
        <v>1865</v>
      </c>
      <c r="D5717" s="8" t="str">
        <f>"9789175193045"</f>
        <v>9789175193045</v>
      </c>
    </row>
    <row r="5718" spans="1:4" x14ac:dyDescent="0.25">
      <c r="A5718" s="7" t="s">
        <v>3640</v>
      </c>
      <c r="B5718" s="8" t="s">
        <v>3641</v>
      </c>
      <c r="C5718" s="8" t="s">
        <v>1865</v>
      </c>
      <c r="D5718" s="8" t="str">
        <f>"9789176853672"</f>
        <v>9789176853672</v>
      </c>
    </row>
    <row r="5719" spans="1:4" x14ac:dyDescent="0.25">
      <c r="A5719" s="7" t="s">
        <v>12339</v>
      </c>
      <c r="B5719" s="8" t="s">
        <v>12340</v>
      </c>
      <c r="C5719" s="8" t="s">
        <v>993</v>
      </c>
      <c r="D5719" s="8" t="str">
        <f>"9783839461969"</f>
        <v>9783839461969</v>
      </c>
    </row>
    <row r="5720" spans="1:4" x14ac:dyDescent="0.25">
      <c r="A5720" s="7" t="s">
        <v>8813</v>
      </c>
      <c r="B5720" s="8" t="s">
        <v>8814</v>
      </c>
      <c r="C5720" s="8" t="s">
        <v>8805</v>
      </c>
      <c r="D5720" s="8" t="str">
        <f>"9781934831144"</f>
        <v>9781934831144</v>
      </c>
    </row>
    <row r="5721" spans="1:4" x14ac:dyDescent="0.25">
      <c r="A5721" s="7" t="s">
        <v>15907</v>
      </c>
      <c r="B5721" s="8" t="s">
        <v>15908</v>
      </c>
      <c r="C5721" s="8" t="s">
        <v>1865</v>
      </c>
      <c r="D5721" s="8" t="str">
        <f>"9789175197937"</f>
        <v>9789175197937</v>
      </c>
    </row>
    <row r="5722" spans="1:4" ht="30" x14ac:dyDescent="0.25">
      <c r="A5722" s="7" t="s">
        <v>6389</v>
      </c>
      <c r="B5722" s="8" t="s">
        <v>6390</v>
      </c>
      <c r="C5722" s="8" t="s">
        <v>1865</v>
      </c>
      <c r="D5722" s="8" t="str">
        <f>"9789179297992"</f>
        <v>9789179297992</v>
      </c>
    </row>
    <row r="5723" spans="1:4" x14ac:dyDescent="0.25">
      <c r="A5723" s="7" t="s">
        <v>6554</v>
      </c>
      <c r="B5723" s="8" t="s">
        <v>6555</v>
      </c>
      <c r="C5723" s="8" t="s">
        <v>2273</v>
      </c>
      <c r="D5723" s="8" t="str">
        <f>"9783030657710"</f>
        <v>9783030657710</v>
      </c>
    </row>
    <row r="5724" spans="1:4" x14ac:dyDescent="0.25">
      <c r="A5724" s="7" t="s">
        <v>9094</v>
      </c>
      <c r="B5724" s="8" t="s">
        <v>9095</v>
      </c>
      <c r="C5724" s="8" t="s">
        <v>1865</v>
      </c>
      <c r="D5724" s="8" t="str">
        <f>"9789179291952"</f>
        <v>9789179291952</v>
      </c>
    </row>
    <row r="5725" spans="1:4" ht="30" x14ac:dyDescent="0.25">
      <c r="A5725" s="7" t="s">
        <v>14230</v>
      </c>
      <c r="B5725" s="8" t="s">
        <v>14231</v>
      </c>
      <c r="C5725" s="8" t="s">
        <v>9256</v>
      </c>
      <c r="D5725" s="8" t="str">
        <f>"9788028002121"</f>
        <v>9788028002121</v>
      </c>
    </row>
    <row r="5726" spans="1:4" x14ac:dyDescent="0.25">
      <c r="A5726" s="7" t="s">
        <v>5496</v>
      </c>
      <c r="B5726" s="8" t="s">
        <v>5497</v>
      </c>
      <c r="C5726" s="8" t="s">
        <v>1036</v>
      </c>
      <c r="D5726" s="8" t="str">
        <f>"9789027263834"</f>
        <v>9789027263834</v>
      </c>
    </row>
    <row r="5727" spans="1:4" x14ac:dyDescent="0.25">
      <c r="A5727" s="7" t="s">
        <v>15098</v>
      </c>
      <c r="B5727" s="8" t="s">
        <v>15099</v>
      </c>
      <c r="C5727" s="8" t="s">
        <v>1865</v>
      </c>
      <c r="D5727" s="8" t="str">
        <f>"9789176853986"</f>
        <v>9789176853986</v>
      </c>
    </row>
    <row r="5728" spans="1:4" x14ac:dyDescent="0.25">
      <c r="A5728" s="7" t="s">
        <v>7808</v>
      </c>
      <c r="B5728" s="8" t="s">
        <v>7809</v>
      </c>
      <c r="C5728" s="8" t="s">
        <v>2273</v>
      </c>
      <c r="D5728" s="8" t="str">
        <f>"9783030658243"</f>
        <v>9783030658243</v>
      </c>
    </row>
    <row r="5729" spans="1:4" ht="30" x14ac:dyDescent="0.25">
      <c r="A5729" s="7" t="s">
        <v>11275</v>
      </c>
      <c r="B5729" s="8" t="s">
        <v>11276</v>
      </c>
      <c r="C5729" s="8" t="s">
        <v>355</v>
      </c>
      <c r="D5729" s="8" t="str">
        <f>"9783110750560"</f>
        <v>9783110750560</v>
      </c>
    </row>
    <row r="5730" spans="1:4" x14ac:dyDescent="0.25">
      <c r="A5730" s="7" t="s">
        <v>7214</v>
      </c>
      <c r="B5730" s="8" t="s">
        <v>7215</v>
      </c>
      <c r="C5730" s="8" t="s">
        <v>355</v>
      </c>
      <c r="D5730" s="8" t="str">
        <f>"9783110670691"</f>
        <v>9783110670691</v>
      </c>
    </row>
    <row r="5731" spans="1:4" x14ac:dyDescent="0.25">
      <c r="A5731" s="7" t="s">
        <v>4826</v>
      </c>
      <c r="B5731" s="8" t="s">
        <v>4827</v>
      </c>
      <c r="C5731" s="8" t="s">
        <v>1865</v>
      </c>
      <c r="D5731" s="8" t="str">
        <f>"9789179299378"</f>
        <v>9789179299378</v>
      </c>
    </row>
    <row r="5732" spans="1:4" x14ac:dyDescent="0.25">
      <c r="A5732" s="7" t="s">
        <v>8830</v>
      </c>
      <c r="B5732" s="8" t="s">
        <v>8825</v>
      </c>
      <c r="C5732" s="8" t="s">
        <v>8805</v>
      </c>
      <c r="D5732" s="8" t="str">
        <f>"9781934831045"</f>
        <v>9781934831045</v>
      </c>
    </row>
    <row r="5733" spans="1:4" ht="30" x14ac:dyDescent="0.25">
      <c r="A5733" s="7" t="s">
        <v>11526</v>
      </c>
      <c r="B5733" s="8" t="s">
        <v>11527</v>
      </c>
      <c r="C5733" s="8" t="s">
        <v>316</v>
      </c>
      <c r="D5733" s="8" t="str">
        <f>"9783110811865"</f>
        <v>9783110811865</v>
      </c>
    </row>
    <row r="5734" spans="1:4" x14ac:dyDescent="0.25">
      <c r="A5734" s="7" t="s">
        <v>1902</v>
      </c>
      <c r="B5734" s="8" t="s">
        <v>1903</v>
      </c>
      <c r="C5734" s="8" t="s">
        <v>1879</v>
      </c>
      <c r="D5734" s="8" t="str">
        <f>"9781906924416"</f>
        <v>9781906924416</v>
      </c>
    </row>
    <row r="5735" spans="1:4" x14ac:dyDescent="0.25">
      <c r="A5735" s="7" t="s">
        <v>11090</v>
      </c>
      <c r="B5735" s="8" t="s">
        <v>11091</v>
      </c>
      <c r="C5735" s="8" t="s">
        <v>6707</v>
      </c>
      <c r="D5735" s="8" t="str">
        <f>"9780472901357"</f>
        <v>9780472901357</v>
      </c>
    </row>
    <row r="5736" spans="1:4" x14ac:dyDescent="0.25">
      <c r="A5736" s="7" t="s">
        <v>8982</v>
      </c>
      <c r="B5736" s="8" t="s">
        <v>8983</v>
      </c>
      <c r="C5736" s="8" t="s">
        <v>1036</v>
      </c>
      <c r="D5736" s="8" t="str">
        <f>"9789027258168"</f>
        <v>9789027258168</v>
      </c>
    </row>
    <row r="5737" spans="1:4" x14ac:dyDescent="0.25">
      <c r="A5737" s="7" t="s">
        <v>14195</v>
      </c>
      <c r="B5737" s="8" t="s">
        <v>9335</v>
      </c>
      <c r="C5737" s="8" t="s">
        <v>9256</v>
      </c>
      <c r="D5737" s="8" t="str">
        <f>"9788028000189"</f>
        <v>9788028000189</v>
      </c>
    </row>
    <row r="5738" spans="1:4" ht="30" x14ac:dyDescent="0.25">
      <c r="A5738" s="7" t="s">
        <v>8952</v>
      </c>
      <c r="B5738" s="8" t="s">
        <v>8953</v>
      </c>
      <c r="C5738" s="8" t="s">
        <v>2273</v>
      </c>
      <c r="D5738" s="8" t="str">
        <f>"9783030752637"</f>
        <v>9783030752637</v>
      </c>
    </row>
    <row r="5739" spans="1:4" ht="30" x14ac:dyDescent="0.25">
      <c r="A5739" s="7" t="s">
        <v>5699</v>
      </c>
      <c r="B5739" s="8" t="s">
        <v>5700</v>
      </c>
      <c r="C5739" s="8" t="s">
        <v>2273</v>
      </c>
      <c r="D5739" s="8" t="str">
        <f>"9783319909554"</f>
        <v>9783319909554</v>
      </c>
    </row>
    <row r="5740" spans="1:4" x14ac:dyDescent="0.25">
      <c r="A5740" s="7" t="s">
        <v>14053</v>
      </c>
      <c r="B5740" s="8" t="s">
        <v>14041</v>
      </c>
      <c r="C5740" s="8" t="s">
        <v>13997</v>
      </c>
      <c r="D5740" s="8" t="str">
        <f>"9789568416669"</f>
        <v>9789568416669</v>
      </c>
    </row>
    <row r="5741" spans="1:4" x14ac:dyDescent="0.25">
      <c r="A5741" s="7" t="s">
        <v>6196</v>
      </c>
      <c r="B5741" s="8" t="s">
        <v>6197</v>
      </c>
      <c r="C5741" s="8" t="s">
        <v>2273</v>
      </c>
      <c r="D5741" s="8" t="str">
        <f>"9783319560687"</f>
        <v>9783319560687</v>
      </c>
    </row>
    <row r="5742" spans="1:4" x14ac:dyDescent="0.25">
      <c r="A5742" s="7" t="s">
        <v>3961</v>
      </c>
      <c r="B5742" s="8" t="s">
        <v>3962</v>
      </c>
      <c r="C5742" s="8" t="s">
        <v>1865</v>
      </c>
      <c r="D5742" s="8" t="str">
        <f>"9789176853375"</f>
        <v>9789176853375</v>
      </c>
    </row>
    <row r="5743" spans="1:4" ht="30" x14ac:dyDescent="0.25">
      <c r="A5743" s="7" t="s">
        <v>2019</v>
      </c>
      <c r="B5743" s="8" t="s">
        <v>1968</v>
      </c>
      <c r="C5743" s="8" t="s">
        <v>1962</v>
      </c>
      <c r="D5743" s="8" t="str">
        <f>"9782759207138"</f>
        <v>9782759207138</v>
      </c>
    </row>
    <row r="5744" spans="1:4" ht="30" x14ac:dyDescent="0.25">
      <c r="A5744" s="7" t="s">
        <v>15100</v>
      </c>
      <c r="B5744" s="8" t="s">
        <v>15101</v>
      </c>
      <c r="C5744" s="8" t="s">
        <v>1865</v>
      </c>
      <c r="D5744" s="8" t="str">
        <f>"9789175199047"</f>
        <v>9789175199047</v>
      </c>
    </row>
    <row r="5745" spans="1:4" x14ac:dyDescent="0.25">
      <c r="A5745" s="7" t="s">
        <v>6319</v>
      </c>
      <c r="B5745" s="8" t="s">
        <v>6320</v>
      </c>
      <c r="C5745" s="8" t="s">
        <v>2273</v>
      </c>
      <c r="D5745" s="8" t="str">
        <f>"9783030631437"</f>
        <v>9783030631437</v>
      </c>
    </row>
    <row r="5746" spans="1:4" x14ac:dyDescent="0.25">
      <c r="A5746" s="7" t="s">
        <v>12177</v>
      </c>
      <c r="B5746" s="8" t="s">
        <v>12178</v>
      </c>
      <c r="C5746" s="8" t="s">
        <v>355</v>
      </c>
      <c r="D5746" s="8" t="str">
        <f>"9783110680942"</f>
        <v>9783110680942</v>
      </c>
    </row>
    <row r="5747" spans="1:4" x14ac:dyDescent="0.25">
      <c r="A5747" s="7" t="s">
        <v>14505</v>
      </c>
      <c r="B5747" s="8" t="s">
        <v>14506</v>
      </c>
      <c r="C5747" s="8" t="s">
        <v>1865</v>
      </c>
      <c r="D5747" s="8" t="str">
        <f>"9789179296698"</f>
        <v>9789179296698</v>
      </c>
    </row>
    <row r="5748" spans="1:4" x14ac:dyDescent="0.25">
      <c r="A5748" s="7" t="s">
        <v>8592</v>
      </c>
      <c r="B5748" s="8" t="s">
        <v>8593</v>
      </c>
      <c r="C5748" s="8" t="s">
        <v>1865</v>
      </c>
      <c r="D5748" s="8" t="str">
        <f>"9789179290405"</f>
        <v>9789179290405</v>
      </c>
    </row>
    <row r="5749" spans="1:4" x14ac:dyDescent="0.25">
      <c r="A5749" s="7" t="s">
        <v>14398</v>
      </c>
      <c r="B5749" s="8" t="s">
        <v>14399</v>
      </c>
      <c r="C5749" s="8" t="s">
        <v>1865</v>
      </c>
      <c r="D5749" s="8" t="str">
        <f>"9789179294878"</f>
        <v>9789179294878</v>
      </c>
    </row>
    <row r="5750" spans="1:4" x14ac:dyDescent="0.25">
      <c r="A5750" s="7" t="s">
        <v>15602</v>
      </c>
      <c r="B5750" s="8" t="s">
        <v>15524</v>
      </c>
      <c r="C5750" s="8" t="s">
        <v>1865</v>
      </c>
      <c r="D5750" s="8" t="str">
        <f>"9789175197296"</f>
        <v>9789175197296</v>
      </c>
    </row>
    <row r="5751" spans="1:4" ht="30" x14ac:dyDescent="0.25">
      <c r="A5751" s="7" t="s">
        <v>15891</v>
      </c>
      <c r="B5751" s="8" t="s">
        <v>15892</v>
      </c>
      <c r="C5751" s="8" t="s">
        <v>1865</v>
      </c>
      <c r="D5751" s="8" t="str">
        <f>"9789175196756"</f>
        <v>9789175196756</v>
      </c>
    </row>
    <row r="5752" spans="1:4" x14ac:dyDescent="0.25">
      <c r="A5752" s="7" t="s">
        <v>2494</v>
      </c>
      <c r="B5752" s="8" t="s">
        <v>2495</v>
      </c>
      <c r="C5752" s="8" t="s">
        <v>1865</v>
      </c>
      <c r="D5752" s="8" t="str">
        <f>"9789176858912"</f>
        <v>9789176858912</v>
      </c>
    </row>
    <row r="5753" spans="1:4" x14ac:dyDescent="0.25">
      <c r="A5753" s="7" t="s">
        <v>4735</v>
      </c>
      <c r="B5753" s="8" t="s">
        <v>3564</v>
      </c>
      <c r="C5753" s="8" t="s">
        <v>1865</v>
      </c>
      <c r="D5753" s="8" t="str">
        <f>"9789175190051"</f>
        <v>9789175190051</v>
      </c>
    </row>
    <row r="5754" spans="1:4" ht="45" x14ac:dyDescent="0.25">
      <c r="A5754" s="7" t="s">
        <v>1679</v>
      </c>
      <c r="B5754" s="8" t="s">
        <v>1680</v>
      </c>
      <c r="C5754" s="8" t="s">
        <v>1345</v>
      </c>
      <c r="D5754" s="8" t="str">
        <f>"9783862192151"</f>
        <v>9783862192151</v>
      </c>
    </row>
    <row r="5755" spans="1:4" x14ac:dyDescent="0.25">
      <c r="A5755" s="7" t="s">
        <v>11041</v>
      </c>
      <c r="B5755" s="8" t="s">
        <v>11042</v>
      </c>
      <c r="C5755" s="8" t="s">
        <v>1879</v>
      </c>
      <c r="D5755" s="8" t="str">
        <f>"9781800646926"</f>
        <v>9781800646926</v>
      </c>
    </row>
    <row r="5756" spans="1:4" x14ac:dyDescent="0.25">
      <c r="A5756" s="7" t="s">
        <v>12493</v>
      </c>
      <c r="B5756" s="8" t="s">
        <v>12494</v>
      </c>
      <c r="C5756" s="8" t="s">
        <v>355</v>
      </c>
      <c r="D5756" s="8" t="str">
        <f>"9783110765687"</f>
        <v>9783110765687</v>
      </c>
    </row>
    <row r="5757" spans="1:4" x14ac:dyDescent="0.25">
      <c r="A5757" s="7" t="s">
        <v>10099</v>
      </c>
      <c r="B5757" s="8" t="s">
        <v>10100</v>
      </c>
      <c r="C5757" s="8" t="s">
        <v>993</v>
      </c>
      <c r="D5757" s="8" t="str">
        <f>"9783839433553"</f>
        <v>9783839433553</v>
      </c>
    </row>
    <row r="5758" spans="1:4" x14ac:dyDescent="0.25">
      <c r="A5758" s="7" t="s">
        <v>8702</v>
      </c>
      <c r="B5758" s="8" t="s">
        <v>8703</v>
      </c>
      <c r="C5758" s="8" t="s">
        <v>1865</v>
      </c>
      <c r="D5758" s="8" t="str">
        <f>"9789179290191"</f>
        <v>9789179290191</v>
      </c>
    </row>
    <row r="5759" spans="1:4" ht="30" x14ac:dyDescent="0.25">
      <c r="A5759" s="7" t="s">
        <v>15981</v>
      </c>
      <c r="B5759" s="8" t="s">
        <v>15982</v>
      </c>
      <c r="C5759" s="8" t="s">
        <v>1865</v>
      </c>
      <c r="D5759" s="8" t="str">
        <f>"9789175197487"</f>
        <v>9789175197487</v>
      </c>
    </row>
    <row r="5760" spans="1:4" x14ac:dyDescent="0.25">
      <c r="A5760" s="7" t="s">
        <v>10641</v>
      </c>
      <c r="B5760" s="8" t="s">
        <v>10642</v>
      </c>
      <c r="C5760" s="8" t="s">
        <v>1865</v>
      </c>
      <c r="D5760" s="8" t="str">
        <f>"9789179292904"</f>
        <v>9789179292904</v>
      </c>
    </row>
    <row r="5761" spans="1:4" x14ac:dyDescent="0.25">
      <c r="A5761" s="7" t="s">
        <v>4478</v>
      </c>
      <c r="B5761" s="8" t="s">
        <v>4479</v>
      </c>
      <c r="C5761" s="8" t="s">
        <v>1865</v>
      </c>
      <c r="D5761" s="8" t="str">
        <f>"9789176850930"</f>
        <v>9789176850930</v>
      </c>
    </row>
    <row r="5762" spans="1:4" x14ac:dyDescent="0.25">
      <c r="A5762" s="7" t="s">
        <v>8693</v>
      </c>
      <c r="B5762" s="8" t="s">
        <v>5810</v>
      </c>
      <c r="C5762" s="8" t="s">
        <v>4245</v>
      </c>
      <c r="D5762" s="8" t="str">
        <f>"9789811668319"</f>
        <v>9789811668319</v>
      </c>
    </row>
    <row r="5763" spans="1:4" x14ac:dyDescent="0.25">
      <c r="A5763" s="7" t="s">
        <v>2735</v>
      </c>
      <c r="B5763" s="8" t="s">
        <v>2736</v>
      </c>
      <c r="C5763" s="8" t="s">
        <v>1865</v>
      </c>
      <c r="D5763" s="8" t="str">
        <f>"9789176857069"</f>
        <v>9789176857069</v>
      </c>
    </row>
    <row r="5764" spans="1:4" x14ac:dyDescent="0.25">
      <c r="A5764" s="7" t="s">
        <v>1823</v>
      </c>
      <c r="B5764" s="8" t="s">
        <v>1824</v>
      </c>
      <c r="C5764" s="8" t="s">
        <v>1345</v>
      </c>
      <c r="D5764" s="8" t="str">
        <f>"9783862198214"</f>
        <v>9783862198214</v>
      </c>
    </row>
    <row r="5765" spans="1:4" x14ac:dyDescent="0.25">
      <c r="A5765" s="7" t="s">
        <v>2167</v>
      </c>
      <c r="B5765" s="8" t="s">
        <v>2169</v>
      </c>
      <c r="C5765" s="8" t="s">
        <v>2168</v>
      </c>
      <c r="D5765" s="8" t="str">
        <f>"9780295800226"</f>
        <v>9780295800226</v>
      </c>
    </row>
    <row r="5766" spans="1:4" ht="30" x14ac:dyDescent="0.25">
      <c r="A5766" s="7" t="s">
        <v>12691</v>
      </c>
      <c r="B5766" s="8" t="s">
        <v>12692</v>
      </c>
      <c r="C5766" s="8" t="s">
        <v>5086</v>
      </c>
      <c r="D5766" s="8" t="str">
        <f>"9783658369255"</f>
        <v>9783658369255</v>
      </c>
    </row>
    <row r="5767" spans="1:4" x14ac:dyDescent="0.25">
      <c r="A5767" s="7" t="s">
        <v>9290</v>
      </c>
      <c r="B5767" s="8" t="s">
        <v>9291</v>
      </c>
      <c r="C5767" s="8" t="s">
        <v>9256</v>
      </c>
      <c r="D5767" s="8" t="str">
        <f>"9788021093577"</f>
        <v>9788021093577</v>
      </c>
    </row>
    <row r="5768" spans="1:4" ht="30" x14ac:dyDescent="0.25">
      <c r="A5768" s="7" t="s">
        <v>13672</v>
      </c>
      <c r="B5768" s="8" t="s">
        <v>13673</v>
      </c>
      <c r="C5768" s="8" t="s">
        <v>2273</v>
      </c>
      <c r="D5768" s="8" t="str">
        <f>"9783031074653"</f>
        <v>9783031074653</v>
      </c>
    </row>
    <row r="5769" spans="1:4" ht="30" x14ac:dyDescent="0.25">
      <c r="A5769" s="7" t="s">
        <v>1388</v>
      </c>
      <c r="B5769" s="8" t="s">
        <v>1389</v>
      </c>
      <c r="C5769" s="8" t="s">
        <v>1345</v>
      </c>
      <c r="D5769" s="8" t="str">
        <f>"9783899588279"</f>
        <v>9783899588279</v>
      </c>
    </row>
    <row r="5770" spans="1:4" x14ac:dyDescent="0.25">
      <c r="A5770" s="7" t="s">
        <v>3761</v>
      </c>
      <c r="B5770" s="8" t="s">
        <v>3762</v>
      </c>
      <c r="C5770" s="8" t="s">
        <v>1865</v>
      </c>
      <c r="D5770" s="8" t="str">
        <f>"9789176853177"</f>
        <v>9789176853177</v>
      </c>
    </row>
    <row r="5771" spans="1:4" x14ac:dyDescent="0.25">
      <c r="A5771" s="7" t="s">
        <v>11198</v>
      </c>
      <c r="B5771" s="8" t="s">
        <v>59</v>
      </c>
      <c r="C5771" s="8" t="s">
        <v>355</v>
      </c>
      <c r="D5771" s="8" t="str">
        <f>"9788395669613"</f>
        <v>9788395669613</v>
      </c>
    </row>
    <row r="5772" spans="1:4" x14ac:dyDescent="0.25">
      <c r="A5772" s="7" t="s">
        <v>11482</v>
      </c>
      <c r="B5772" s="8" t="s">
        <v>11483</v>
      </c>
      <c r="C5772" s="8" t="s">
        <v>316</v>
      </c>
      <c r="D5772" s="8" t="str">
        <f>"9783111557823"</f>
        <v>9783111557823</v>
      </c>
    </row>
    <row r="5773" spans="1:4" x14ac:dyDescent="0.25">
      <c r="A5773" s="7" t="s">
        <v>8742</v>
      </c>
      <c r="B5773" s="8" t="s">
        <v>8743</v>
      </c>
      <c r="C5773" s="8" t="s">
        <v>2273</v>
      </c>
      <c r="D5773" s="8" t="str">
        <f>"9783030861445"</f>
        <v>9783030861445</v>
      </c>
    </row>
    <row r="5774" spans="1:4" x14ac:dyDescent="0.25">
      <c r="A5774" s="7" t="s">
        <v>6085</v>
      </c>
      <c r="B5774" s="8" t="s">
        <v>5843</v>
      </c>
      <c r="C5774" s="8" t="s">
        <v>2273</v>
      </c>
      <c r="D5774" s="8" t="str">
        <f>"9783319071183"</f>
        <v>9783319071183</v>
      </c>
    </row>
    <row r="5775" spans="1:4" x14ac:dyDescent="0.25">
      <c r="A5775" s="7" t="s">
        <v>5842</v>
      </c>
      <c r="B5775" s="8" t="s">
        <v>5843</v>
      </c>
      <c r="C5775" s="8" t="s">
        <v>2273</v>
      </c>
      <c r="D5775" s="8" t="str">
        <f>"9783319169644"</f>
        <v>9783319169644</v>
      </c>
    </row>
    <row r="5776" spans="1:4" ht="30" x14ac:dyDescent="0.25">
      <c r="A5776" s="7" t="s">
        <v>2460</v>
      </c>
      <c r="B5776" s="8" t="s">
        <v>2461</v>
      </c>
      <c r="C5776" s="8" t="s">
        <v>1865</v>
      </c>
      <c r="D5776" s="8" t="str">
        <f>"9789176859759"</f>
        <v>9789176859759</v>
      </c>
    </row>
    <row r="5777" spans="1:4" ht="30" x14ac:dyDescent="0.25">
      <c r="A5777" s="7" t="s">
        <v>10866</v>
      </c>
      <c r="B5777" s="8" t="s">
        <v>10867</v>
      </c>
      <c r="C5777" s="8" t="s">
        <v>2273</v>
      </c>
      <c r="D5777" s="8" t="str">
        <f>"9783030941376"</f>
        <v>9783030941376</v>
      </c>
    </row>
    <row r="5778" spans="1:4" x14ac:dyDescent="0.25">
      <c r="A5778" s="7" t="s">
        <v>12519</v>
      </c>
      <c r="B5778" s="8" t="s">
        <v>12520</v>
      </c>
      <c r="C5778" s="8" t="s">
        <v>355</v>
      </c>
      <c r="D5778" s="8" t="str">
        <f>"9783110698510"</f>
        <v>9783110698510</v>
      </c>
    </row>
    <row r="5779" spans="1:4" x14ac:dyDescent="0.25">
      <c r="A5779" s="7" t="s">
        <v>8471</v>
      </c>
      <c r="B5779" s="8" t="s">
        <v>8472</v>
      </c>
      <c r="C5779" s="8" t="s">
        <v>993</v>
      </c>
      <c r="D5779" s="8" t="str">
        <f>"9783839452059"</f>
        <v>9783839452059</v>
      </c>
    </row>
    <row r="5780" spans="1:4" x14ac:dyDescent="0.25">
      <c r="A5780" s="7" t="s">
        <v>3815</v>
      </c>
      <c r="B5780" s="8" t="s">
        <v>3816</v>
      </c>
      <c r="C5780" s="8" t="s">
        <v>1036</v>
      </c>
      <c r="D5780" s="8" t="str">
        <f>"9789027263599"</f>
        <v>9789027263599</v>
      </c>
    </row>
    <row r="5781" spans="1:4" x14ac:dyDescent="0.25">
      <c r="A5781" s="7" t="s">
        <v>8024</v>
      </c>
      <c r="B5781" s="8" t="s">
        <v>8025</v>
      </c>
      <c r="C5781" s="8" t="s">
        <v>1962</v>
      </c>
      <c r="D5781" s="8" t="str">
        <f>"9782759223459"</f>
        <v>9782759223459</v>
      </c>
    </row>
    <row r="5782" spans="1:4" ht="30" x14ac:dyDescent="0.25">
      <c r="A5782" s="7" t="s">
        <v>4520</v>
      </c>
      <c r="B5782" s="8" t="s">
        <v>4521</v>
      </c>
      <c r="C5782" s="8" t="s">
        <v>1962</v>
      </c>
      <c r="D5782" s="8" t="str">
        <f>"9782759229987"</f>
        <v>9782759229987</v>
      </c>
    </row>
    <row r="5783" spans="1:4" x14ac:dyDescent="0.25">
      <c r="A5783" s="7" t="s">
        <v>14090</v>
      </c>
      <c r="B5783" s="8" t="s">
        <v>14091</v>
      </c>
      <c r="C5783" s="8" t="s">
        <v>993</v>
      </c>
      <c r="D5783" s="8" t="str">
        <f>"9783839464557"</f>
        <v>9783839464557</v>
      </c>
    </row>
    <row r="5784" spans="1:4" ht="30" x14ac:dyDescent="0.25">
      <c r="A5784" s="7" t="s">
        <v>4312</v>
      </c>
      <c r="B5784" s="8" t="s">
        <v>4313</v>
      </c>
      <c r="C5784" s="8" t="s">
        <v>1345</v>
      </c>
      <c r="D5784" s="8" t="str">
        <f>"9783737605915"</f>
        <v>9783737605915</v>
      </c>
    </row>
    <row r="5785" spans="1:4" x14ac:dyDescent="0.25">
      <c r="A5785" s="7" t="s">
        <v>6090</v>
      </c>
      <c r="B5785" s="8" t="s">
        <v>5157</v>
      </c>
      <c r="C5785" s="8" t="s">
        <v>5134</v>
      </c>
      <c r="D5785" s="8" t="str">
        <f>"9783662568224"</f>
        <v>9783662568224</v>
      </c>
    </row>
    <row r="5786" spans="1:4" x14ac:dyDescent="0.25">
      <c r="A5786" s="7" t="s">
        <v>5906</v>
      </c>
      <c r="B5786" s="8" t="s">
        <v>5157</v>
      </c>
      <c r="C5786" s="8" t="s">
        <v>5134</v>
      </c>
      <c r="D5786" s="8" t="str">
        <f>"9783662589359"</f>
        <v>9783662589359</v>
      </c>
    </row>
    <row r="5787" spans="1:4" x14ac:dyDescent="0.25">
      <c r="A5787" s="7" t="s">
        <v>5156</v>
      </c>
      <c r="B5787" s="8" t="s">
        <v>5157</v>
      </c>
      <c r="C5787" s="8" t="s">
        <v>5134</v>
      </c>
      <c r="D5787" s="8" t="str">
        <f>"9783662613627"</f>
        <v>9783662613627</v>
      </c>
    </row>
    <row r="5788" spans="1:4" x14ac:dyDescent="0.25">
      <c r="A5788" s="7" t="s">
        <v>7342</v>
      </c>
      <c r="B5788" s="8" t="s">
        <v>5157</v>
      </c>
      <c r="C5788" s="8" t="s">
        <v>5134</v>
      </c>
      <c r="D5788" s="8" t="str">
        <f>"9783662631072"</f>
        <v>9783662631072</v>
      </c>
    </row>
    <row r="5789" spans="1:4" x14ac:dyDescent="0.25">
      <c r="A5789" s="7" t="s">
        <v>12393</v>
      </c>
      <c r="B5789" s="8" t="s">
        <v>5157</v>
      </c>
      <c r="C5789" s="8" t="s">
        <v>5134</v>
      </c>
      <c r="D5789" s="8" t="str">
        <f>"9783662652046"</f>
        <v>9783662652046</v>
      </c>
    </row>
    <row r="5790" spans="1:4" x14ac:dyDescent="0.25">
      <c r="A5790" s="7" t="s">
        <v>6045</v>
      </c>
      <c r="B5790" s="8" t="s">
        <v>6046</v>
      </c>
      <c r="C5790" s="8" t="s">
        <v>5086</v>
      </c>
      <c r="D5790" s="8" t="str">
        <f>"9783658226985"</f>
        <v>9783658226985</v>
      </c>
    </row>
    <row r="5791" spans="1:4" x14ac:dyDescent="0.25">
      <c r="A5791" s="7" t="s">
        <v>7486</v>
      </c>
      <c r="B5791" s="8" t="s">
        <v>5048</v>
      </c>
      <c r="C5791" s="8" t="s">
        <v>993</v>
      </c>
      <c r="D5791" s="8" t="str">
        <f>"9783839434383"</f>
        <v>9783839434383</v>
      </c>
    </row>
    <row r="5792" spans="1:4" x14ac:dyDescent="0.25">
      <c r="A5792" s="7" t="s">
        <v>4752</v>
      </c>
      <c r="B5792" s="8" t="s">
        <v>4753</v>
      </c>
      <c r="C5792" s="8" t="s">
        <v>1865</v>
      </c>
      <c r="D5792" s="8" t="str">
        <f>"9789176850046"</f>
        <v>9789176850046</v>
      </c>
    </row>
    <row r="5793" spans="1:4" ht="30" x14ac:dyDescent="0.25">
      <c r="A5793" s="7" t="s">
        <v>14777</v>
      </c>
      <c r="B5793" s="8" t="s">
        <v>14778</v>
      </c>
      <c r="C5793" s="8" t="s">
        <v>1865</v>
      </c>
      <c r="D5793" s="8" t="str">
        <f>"9789175199290"</f>
        <v>9789175199290</v>
      </c>
    </row>
    <row r="5794" spans="1:4" ht="30" x14ac:dyDescent="0.25">
      <c r="A5794" s="7" t="s">
        <v>4852</v>
      </c>
      <c r="B5794" s="8" t="s">
        <v>4853</v>
      </c>
      <c r="C5794" s="8" t="s">
        <v>1865</v>
      </c>
      <c r="D5794" s="8" t="str">
        <f>"9789179299408"</f>
        <v>9789179299408</v>
      </c>
    </row>
    <row r="5795" spans="1:4" x14ac:dyDescent="0.25">
      <c r="A5795" s="7" t="s">
        <v>15232</v>
      </c>
      <c r="B5795" s="8" t="s">
        <v>15233</v>
      </c>
      <c r="C5795" s="8" t="s">
        <v>1865</v>
      </c>
      <c r="D5795" s="8" t="str">
        <f>"9789175198361"</f>
        <v>9789175198361</v>
      </c>
    </row>
    <row r="5796" spans="1:4" x14ac:dyDescent="0.25">
      <c r="A5796" s="7" t="s">
        <v>14509</v>
      </c>
      <c r="B5796" s="8" t="s">
        <v>14510</v>
      </c>
      <c r="C5796" s="8" t="s">
        <v>1865</v>
      </c>
      <c r="D5796" s="8" t="str">
        <f>"9789179296681"</f>
        <v>9789179296681</v>
      </c>
    </row>
    <row r="5797" spans="1:4" x14ac:dyDescent="0.25">
      <c r="A5797" s="7" t="s">
        <v>3167</v>
      </c>
      <c r="B5797" s="8" t="s">
        <v>3168</v>
      </c>
      <c r="C5797" s="8" t="s">
        <v>1865</v>
      </c>
      <c r="D5797" s="8" t="str">
        <f>"9789176855263"</f>
        <v>9789176855263</v>
      </c>
    </row>
    <row r="5798" spans="1:4" x14ac:dyDescent="0.25">
      <c r="A5798" s="7" t="s">
        <v>14864</v>
      </c>
      <c r="B5798" s="8" t="s">
        <v>14865</v>
      </c>
      <c r="C5798" s="8" t="s">
        <v>1865</v>
      </c>
      <c r="D5798" s="8" t="str">
        <f>"9789176857915"</f>
        <v>9789176857915</v>
      </c>
    </row>
    <row r="5799" spans="1:4" x14ac:dyDescent="0.25">
      <c r="A5799" s="7" t="s">
        <v>4514</v>
      </c>
      <c r="B5799" s="8" t="s">
        <v>4515</v>
      </c>
      <c r="C5799" s="8" t="s">
        <v>1865</v>
      </c>
      <c r="D5799" s="8" t="str">
        <f>"9789176850411"</f>
        <v>9789176850411</v>
      </c>
    </row>
    <row r="5800" spans="1:4" x14ac:dyDescent="0.25">
      <c r="A5800" s="7" t="s">
        <v>15398</v>
      </c>
      <c r="B5800" s="8" t="s">
        <v>15399</v>
      </c>
      <c r="C5800" s="8" t="s">
        <v>1865</v>
      </c>
      <c r="D5800" s="8" t="str">
        <f>"9789176858356"</f>
        <v>9789176858356</v>
      </c>
    </row>
    <row r="5801" spans="1:4" x14ac:dyDescent="0.25">
      <c r="A5801" s="7" t="s">
        <v>670</v>
      </c>
      <c r="B5801" s="8" t="s">
        <v>671</v>
      </c>
      <c r="C5801" s="8" t="s">
        <v>316</v>
      </c>
      <c r="D5801" s="8" t="str">
        <f>"9783110328998"</f>
        <v>9783110328998</v>
      </c>
    </row>
    <row r="5802" spans="1:4" ht="30" x14ac:dyDescent="0.25">
      <c r="A5802" s="7" t="s">
        <v>8206</v>
      </c>
      <c r="B5802" s="8" t="s">
        <v>8207</v>
      </c>
      <c r="C5802" s="8" t="s">
        <v>993</v>
      </c>
      <c r="D5802" s="8" t="str">
        <f>"9783839454480"</f>
        <v>9783839454480</v>
      </c>
    </row>
    <row r="5803" spans="1:4" ht="30" x14ac:dyDescent="0.25">
      <c r="A5803" s="7" t="s">
        <v>11667</v>
      </c>
      <c r="B5803" s="8" t="s">
        <v>11668</v>
      </c>
      <c r="C5803" s="8" t="s">
        <v>355</v>
      </c>
      <c r="D5803" s="8" t="str">
        <f>"9783111534589"</f>
        <v>9783111534589</v>
      </c>
    </row>
    <row r="5804" spans="1:4" x14ac:dyDescent="0.25">
      <c r="A5804" s="7" t="s">
        <v>8325</v>
      </c>
      <c r="B5804" s="8" t="s">
        <v>8326</v>
      </c>
      <c r="C5804" s="8" t="s">
        <v>993</v>
      </c>
      <c r="D5804" s="8" t="str">
        <f>"9783839441527"</f>
        <v>9783839441527</v>
      </c>
    </row>
    <row r="5805" spans="1:4" x14ac:dyDescent="0.25">
      <c r="A5805" s="7" t="s">
        <v>1403</v>
      </c>
      <c r="B5805" s="8" t="s">
        <v>1404</v>
      </c>
      <c r="C5805" s="8" t="s">
        <v>1345</v>
      </c>
      <c r="D5805" s="8" t="str">
        <f>"9783899589917"</f>
        <v>9783899589917</v>
      </c>
    </row>
    <row r="5806" spans="1:4" ht="30" x14ac:dyDescent="0.25">
      <c r="A5806" s="7" t="s">
        <v>689</v>
      </c>
      <c r="B5806" s="8" t="s">
        <v>7</v>
      </c>
      <c r="C5806" s="8" t="s">
        <v>316</v>
      </c>
      <c r="D5806" s="8" t="str">
        <f>"9783110328486"</f>
        <v>9783110328486</v>
      </c>
    </row>
    <row r="5807" spans="1:4" x14ac:dyDescent="0.25">
      <c r="A5807" s="7" t="s">
        <v>15895</v>
      </c>
      <c r="B5807" s="8" t="s">
        <v>15896</v>
      </c>
      <c r="C5807" s="8" t="s">
        <v>1865</v>
      </c>
      <c r="D5807" s="8" t="str">
        <f>"9789175199207"</f>
        <v>9789175199207</v>
      </c>
    </row>
    <row r="5808" spans="1:4" x14ac:dyDescent="0.25">
      <c r="A5808" s="7" t="s">
        <v>1821</v>
      </c>
      <c r="B5808" s="8" t="s">
        <v>1822</v>
      </c>
      <c r="C5808" s="8" t="s">
        <v>1345</v>
      </c>
      <c r="D5808" s="8" t="str">
        <f>"9783899586114"</f>
        <v>9783899586114</v>
      </c>
    </row>
    <row r="5809" spans="1:4" ht="30" x14ac:dyDescent="0.25">
      <c r="A5809" s="7" t="s">
        <v>15680</v>
      </c>
      <c r="B5809" s="8" t="s">
        <v>2501</v>
      </c>
      <c r="C5809" s="8" t="s">
        <v>1865</v>
      </c>
      <c r="D5809" s="8" t="str">
        <f>"9789175194271"</f>
        <v>9789175194271</v>
      </c>
    </row>
    <row r="5810" spans="1:4" ht="30" x14ac:dyDescent="0.25">
      <c r="A5810" s="7" t="s">
        <v>5372</v>
      </c>
      <c r="B5810" s="8" t="s">
        <v>5373</v>
      </c>
      <c r="C5810" s="8" t="s">
        <v>1865</v>
      </c>
      <c r="D5810" s="8" t="str">
        <f>"9789179298210"</f>
        <v>9789179298210</v>
      </c>
    </row>
    <row r="5811" spans="1:4" x14ac:dyDescent="0.25">
      <c r="A5811" s="7" t="s">
        <v>14136</v>
      </c>
      <c r="B5811" s="8" t="s">
        <v>14137</v>
      </c>
      <c r="C5811" s="8" t="s">
        <v>2273</v>
      </c>
      <c r="D5811" s="8" t="str">
        <f>"9783031201646"</f>
        <v>9783031201646</v>
      </c>
    </row>
    <row r="5812" spans="1:4" x14ac:dyDescent="0.25">
      <c r="A5812" s="7" t="s">
        <v>12592</v>
      </c>
      <c r="B5812" s="8" t="s">
        <v>12593</v>
      </c>
      <c r="C5812" s="8" t="s">
        <v>355</v>
      </c>
      <c r="D5812" s="8" t="str">
        <f>"9783110754469"</f>
        <v>9783110754469</v>
      </c>
    </row>
    <row r="5813" spans="1:4" x14ac:dyDescent="0.25">
      <c r="A5813" s="7" t="s">
        <v>6401</v>
      </c>
      <c r="B5813" s="8" t="s">
        <v>6402</v>
      </c>
      <c r="C5813" s="8" t="s">
        <v>1879</v>
      </c>
      <c r="D5813" s="8" t="str">
        <f>"9781783749164"</f>
        <v>9781783749164</v>
      </c>
    </row>
    <row r="5814" spans="1:4" x14ac:dyDescent="0.25">
      <c r="A5814" s="7" t="s">
        <v>3253</v>
      </c>
      <c r="B5814" s="8" t="s">
        <v>3254</v>
      </c>
      <c r="C5814" s="8" t="s">
        <v>1865</v>
      </c>
      <c r="D5814" s="8" t="str">
        <f>"9789176854877"</f>
        <v>9789176854877</v>
      </c>
    </row>
    <row r="5815" spans="1:4" ht="30" x14ac:dyDescent="0.25">
      <c r="A5815" s="7" t="s">
        <v>1501</v>
      </c>
      <c r="B5815" s="8" t="s">
        <v>1502</v>
      </c>
      <c r="C5815" s="8" t="s">
        <v>1345</v>
      </c>
      <c r="D5815" s="8" t="str">
        <f>"9783862194599"</f>
        <v>9783862194599</v>
      </c>
    </row>
    <row r="5816" spans="1:4" x14ac:dyDescent="0.25">
      <c r="A5816" s="7" t="s">
        <v>4703</v>
      </c>
      <c r="B5816" s="8" t="s">
        <v>4704</v>
      </c>
      <c r="C5816" s="8" t="s">
        <v>1865</v>
      </c>
      <c r="D5816" s="8" t="str">
        <f>"9789179299781"</f>
        <v>9789179299781</v>
      </c>
    </row>
    <row r="5817" spans="1:4" x14ac:dyDescent="0.25">
      <c r="A5817" s="7" t="s">
        <v>5902</v>
      </c>
      <c r="B5817" s="8" t="s">
        <v>5903</v>
      </c>
      <c r="C5817" s="8" t="s">
        <v>2273</v>
      </c>
      <c r="D5817" s="8" t="str">
        <f>"9783319708157"</f>
        <v>9783319708157</v>
      </c>
    </row>
    <row r="5818" spans="1:4" ht="30" x14ac:dyDescent="0.25">
      <c r="A5818" s="7" t="s">
        <v>2731</v>
      </c>
      <c r="B5818" s="8" t="s">
        <v>2732</v>
      </c>
      <c r="C5818" s="8" t="s">
        <v>1865</v>
      </c>
      <c r="D5818" s="8" t="str">
        <f>"9789176858400"</f>
        <v>9789176858400</v>
      </c>
    </row>
    <row r="5819" spans="1:4" ht="30" x14ac:dyDescent="0.25">
      <c r="A5819" s="7" t="s">
        <v>16105</v>
      </c>
      <c r="B5819" s="8" t="s">
        <v>16106</v>
      </c>
      <c r="C5819" s="8" t="s">
        <v>1865</v>
      </c>
      <c r="D5819" s="8" t="str">
        <f>"9789179294663"</f>
        <v>9789179294663</v>
      </c>
    </row>
    <row r="5820" spans="1:4" x14ac:dyDescent="0.25">
      <c r="A5820" s="7" t="s">
        <v>6482</v>
      </c>
      <c r="B5820" s="8" t="s">
        <v>6483</v>
      </c>
      <c r="C5820" s="8" t="s">
        <v>2273</v>
      </c>
      <c r="D5820" s="8" t="str">
        <f>"9783030555672"</f>
        <v>9783030555672</v>
      </c>
    </row>
    <row r="5821" spans="1:4" x14ac:dyDescent="0.25">
      <c r="A5821" s="7" t="s">
        <v>4921</v>
      </c>
      <c r="B5821" s="8" t="s">
        <v>4922</v>
      </c>
      <c r="C5821" s="8" t="s">
        <v>1865</v>
      </c>
      <c r="D5821" s="8" t="str">
        <f>"9789179298906"</f>
        <v>9789179298906</v>
      </c>
    </row>
    <row r="5822" spans="1:4" x14ac:dyDescent="0.25">
      <c r="A5822" s="7" t="s">
        <v>14562</v>
      </c>
      <c r="B5822" s="8" t="s">
        <v>14563</v>
      </c>
      <c r="C5822" s="8" t="s">
        <v>1865</v>
      </c>
      <c r="D5822" s="8" t="str">
        <f>"9789179296988"</f>
        <v>9789179296988</v>
      </c>
    </row>
    <row r="5823" spans="1:4" x14ac:dyDescent="0.25">
      <c r="A5823" s="7" t="s">
        <v>4449</v>
      </c>
      <c r="B5823" s="8" t="s">
        <v>4450</v>
      </c>
      <c r="C5823" s="8" t="s">
        <v>1865</v>
      </c>
      <c r="D5823" s="8" t="str">
        <f>"9789176850886"</f>
        <v>9789176850886</v>
      </c>
    </row>
    <row r="5824" spans="1:4" ht="30" x14ac:dyDescent="0.25">
      <c r="A5824" s="7" t="s">
        <v>15087</v>
      </c>
      <c r="B5824" s="8" t="s">
        <v>15088</v>
      </c>
      <c r="C5824" s="8" t="s">
        <v>1865</v>
      </c>
      <c r="D5824" s="8" t="str">
        <f>"9789175197678"</f>
        <v>9789175197678</v>
      </c>
    </row>
    <row r="5825" spans="1:4" x14ac:dyDescent="0.25">
      <c r="A5825" s="7" t="s">
        <v>2480</v>
      </c>
      <c r="B5825" s="8" t="s">
        <v>2481</v>
      </c>
      <c r="C5825" s="8" t="s">
        <v>1865</v>
      </c>
      <c r="D5825" s="8" t="str">
        <f>"9789176859124"</f>
        <v>9789176859124</v>
      </c>
    </row>
    <row r="5826" spans="1:4" x14ac:dyDescent="0.25">
      <c r="A5826" s="7" t="s">
        <v>10915</v>
      </c>
      <c r="B5826" s="8" t="s">
        <v>2264</v>
      </c>
      <c r="C5826" s="8" t="s">
        <v>355</v>
      </c>
      <c r="D5826" s="8" t="str">
        <f>"9783110481112"</f>
        <v>9783110481112</v>
      </c>
    </row>
    <row r="5827" spans="1:4" x14ac:dyDescent="0.25">
      <c r="A5827" s="7" t="s">
        <v>8636</v>
      </c>
      <c r="B5827" s="8" t="s">
        <v>8637</v>
      </c>
      <c r="C5827" s="8" t="s">
        <v>2273</v>
      </c>
      <c r="D5827" s="8" t="str">
        <f>"9783030821678"</f>
        <v>9783030821678</v>
      </c>
    </row>
    <row r="5828" spans="1:4" ht="30" x14ac:dyDescent="0.25">
      <c r="A5828" s="7" t="s">
        <v>2263</v>
      </c>
      <c r="B5828" s="8" t="s">
        <v>2264</v>
      </c>
      <c r="C5828" s="8" t="s">
        <v>316</v>
      </c>
      <c r="D5828" s="8" t="str">
        <f>"9783110440362"</f>
        <v>9783110440362</v>
      </c>
    </row>
    <row r="5829" spans="1:4" ht="30" x14ac:dyDescent="0.25">
      <c r="A5829" s="7" t="s">
        <v>4287</v>
      </c>
      <c r="B5829" s="8" t="s">
        <v>4288</v>
      </c>
      <c r="C5829" s="8" t="s">
        <v>1345</v>
      </c>
      <c r="D5829" s="8" t="str">
        <f>"9783737605458"</f>
        <v>9783737605458</v>
      </c>
    </row>
    <row r="5830" spans="1:4" x14ac:dyDescent="0.25">
      <c r="A5830" s="7" t="s">
        <v>5331</v>
      </c>
      <c r="B5830" s="8" t="s">
        <v>5332</v>
      </c>
      <c r="C5830" s="8" t="s">
        <v>2273</v>
      </c>
      <c r="D5830" s="8" t="str">
        <f>"9783319254746"</f>
        <v>9783319254746</v>
      </c>
    </row>
    <row r="5831" spans="1:4" x14ac:dyDescent="0.25">
      <c r="A5831" s="7" t="s">
        <v>10260</v>
      </c>
      <c r="B5831" s="8" t="s">
        <v>8397</v>
      </c>
      <c r="C5831" s="8" t="s">
        <v>993</v>
      </c>
      <c r="D5831" s="8" t="str">
        <f>"9783839446522"</f>
        <v>9783839446522</v>
      </c>
    </row>
    <row r="5832" spans="1:4" x14ac:dyDescent="0.25">
      <c r="A5832" s="7" t="s">
        <v>2234</v>
      </c>
      <c r="B5832" s="8" t="s">
        <v>2235</v>
      </c>
      <c r="C5832" s="8" t="s">
        <v>355</v>
      </c>
      <c r="D5832" s="8" t="str">
        <f>"9783486835748"</f>
        <v>9783486835748</v>
      </c>
    </row>
    <row r="5833" spans="1:4" x14ac:dyDescent="0.25">
      <c r="A5833" s="7" t="s">
        <v>2757</v>
      </c>
      <c r="B5833" s="8" t="s">
        <v>2758</v>
      </c>
      <c r="C5833" s="8" t="s">
        <v>1879</v>
      </c>
      <c r="D5833" s="8" t="str">
        <f>"9781783742356"</f>
        <v>9781783742356</v>
      </c>
    </row>
    <row r="5834" spans="1:4" x14ac:dyDescent="0.25">
      <c r="A5834" s="7" t="s">
        <v>10700</v>
      </c>
      <c r="B5834" s="8" t="s">
        <v>10699</v>
      </c>
      <c r="C5834" s="8" t="s">
        <v>1224</v>
      </c>
      <c r="D5834" s="8" t="str">
        <f>"9781644698259"</f>
        <v>9781644698259</v>
      </c>
    </row>
    <row r="5835" spans="1:4" x14ac:dyDescent="0.25">
      <c r="A5835" s="7" t="s">
        <v>10698</v>
      </c>
      <c r="B5835" s="8" t="s">
        <v>10699</v>
      </c>
      <c r="C5835" s="8" t="s">
        <v>1224</v>
      </c>
      <c r="D5835" s="8" t="str">
        <f>"9781644698266"</f>
        <v>9781644698266</v>
      </c>
    </row>
    <row r="5836" spans="1:4" x14ac:dyDescent="0.25">
      <c r="A5836" s="7" t="s">
        <v>12450</v>
      </c>
      <c r="B5836" s="8" t="s">
        <v>10699</v>
      </c>
      <c r="C5836" s="8" t="s">
        <v>1224</v>
      </c>
      <c r="D5836" s="8" t="str">
        <f>"9781644698273"</f>
        <v>9781644698273</v>
      </c>
    </row>
    <row r="5837" spans="1:4" x14ac:dyDescent="0.25">
      <c r="A5837" s="7" t="s">
        <v>15563</v>
      </c>
      <c r="B5837" s="8" t="s">
        <v>15564</v>
      </c>
      <c r="C5837" s="8" t="s">
        <v>1865</v>
      </c>
      <c r="D5837" s="8" t="str">
        <f>"9789176858363"</f>
        <v>9789176858363</v>
      </c>
    </row>
    <row r="5838" spans="1:4" x14ac:dyDescent="0.25">
      <c r="A5838" s="7" t="s">
        <v>15858</v>
      </c>
      <c r="B5838" s="8" t="s">
        <v>15859</v>
      </c>
      <c r="C5838" s="8" t="s">
        <v>1865</v>
      </c>
      <c r="D5838" s="8" t="str">
        <f>"9789185895977"</f>
        <v>9789185895977</v>
      </c>
    </row>
    <row r="5839" spans="1:4" ht="30" x14ac:dyDescent="0.25">
      <c r="A5839" s="7" t="s">
        <v>5570</v>
      </c>
      <c r="B5839" s="8" t="s">
        <v>5571</v>
      </c>
      <c r="C5839" s="8" t="s">
        <v>2273</v>
      </c>
      <c r="D5839" s="8" t="str">
        <f>"9783030611842"</f>
        <v>9783030611842</v>
      </c>
    </row>
    <row r="5840" spans="1:4" x14ac:dyDescent="0.25">
      <c r="A5840" s="7" t="s">
        <v>7968</v>
      </c>
      <c r="B5840" s="8" t="s">
        <v>7969</v>
      </c>
      <c r="C5840" s="8" t="s">
        <v>1962</v>
      </c>
      <c r="D5840" s="8" t="str">
        <f>"9782759232628"</f>
        <v>9782759232628</v>
      </c>
    </row>
    <row r="5841" spans="1:4" ht="30" x14ac:dyDescent="0.25">
      <c r="A5841" s="7" t="s">
        <v>545</v>
      </c>
      <c r="B5841" s="8" t="s">
        <v>546</v>
      </c>
      <c r="C5841" s="8" t="s">
        <v>316</v>
      </c>
      <c r="D5841" s="8" t="str">
        <f>"9783110314724"</f>
        <v>9783110314724</v>
      </c>
    </row>
    <row r="5842" spans="1:4" x14ac:dyDescent="0.25">
      <c r="A5842" s="7" t="s">
        <v>8577</v>
      </c>
      <c r="B5842" s="8" t="s">
        <v>8578</v>
      </c>
      <c r="C5842" s="8" t="s">
        <v>329</v>
      </c>
      <c r="D5842" s="8" t="str">
        <f>"9789048544950"</f>
        <v>9789048544950</v>
      </c>
    </row>
    <row r="5843" spans="1:4" x14ac:dyDescent="0.25">
      <c r="A5843" s="7" t="s">
        <v>16178</v>
      </c>
      <c r="B5843" s="8" t="s">
        <v>16179</v>
      </c>
      <c r="C5843" s="8" t="s">
        <v>1865</v>
      </c>
      <c r="D5843" s="8" t="str">
        <f>"9789176858066"</f>
        <v>9789176858066</v>
      </c>
    </row>
    <row r="5844" spans="1:4" ht="30" x14ac:dyDescent="0.25">
      <c r="A5844" s="7" t="s">
        <v>13729</v>
      </c>
      <c r="B5844" s="8" t="s">
        <v>13730</v>
      </c>
      <c r="C5844" s="8" t="s">
        <v>993</v>
      </c>
      <c r="D5844" s="8" t="str">
        <f>"9783839465103"</f>
        <v>9783839465103</v>
      </c>
    </row>
    <row r="5845" spans="1:4" ht="30" x14ac:dyDescent="0.25">
      <c r="A5845" s="7" t="s">
        <v>2909</v>
      </c>
      <c r="B5845" s="8" t="s">
        <v>2910</v>
      </c>
      <c r="C5845" s="8" t="s">
        <v>1345</v>
      </c>
      <c r="D5845" s="8" t="str">
        <f>"9783737600378"</f>
        <v>9783737600378</v>
      </c>
    </row>
    <row r="5846" spans="1:4" ht="60" x14ac:dyDescent="0.25">
      <c r="A5846" s="7" t="s">
        <v>13329</v>
      </c>
      <c r="B5846" s="8" t="s">
        <v>188</v>
      </c>
      <c r="C5846" s="8" t="s">
        <v>12712</v>
      </c>
      <c r="D5846" s="8" t="str">
        <f>"9783428574896"</f>
        <v>9783428574896</v>
      </c>
    </row>
    <row r="5847" spans="1:4" ht="30" x14ac:dyDescent="0.25">
      <c r="A5847" s="7" t="s">
        <v>14021</v>
      </c>
      <c r="B5847" s="8" t="s">
        <v>14022</v>
      </c>
      <c r="C5847" s="8" t="s">
        <v>13997</v>
      </c>
      <c r="D5847" s="8" t="str">
        <f>"9789566095248"</f>
        <v>9789566095248</v>
      </c>
    </row>
    <row r="5848" spans="1:4" ht="30" x14ac:dyDescent="0.25">
      <c r="A5848" s="7" t="s">
        <v>12572</v>
      </c>
      <c r="B5848" s="8" t="s">
        <v>12573</v>
      </c>
      <c r="C5848" s="8" t="s">
        <v>2273</v>
      </c>
      <c r="D5848" s="8" t="str">
        <f>"9783031065507"</f>
        <v>9783031065507</v>
      </c>
    </row>
    <row r="5849" spans="1:4" x14ac:dyDescent="0.25">
      <c r="A5849" s="7" t="s">
        <v>11165</v>
      </c>
      <c r="B5849" s="8" t="s">
        <v>11166</v>
      </c>
      <c r="C5849" s="8" t="s">
        <v>355</v>
      </c>
      <c r="D5849" s="8" t="str">
        <f>"9783110534696"</f>
        <v>9783110534696</v>
      </c>
    </row>
    <row r="5850" spans="1:4" x14ac:dyDescent="0.25">
      <c r="A5850" s="7" t="s">
        <v>3844</v>
      </c>
      <c r="B5850" s="8" t="s">
        <v>3845</v>
      </c>
      <c r="C5850" s="8" t="s">
        <v>355</v>
      </c>
      <c r="D5850" s="8" t="str">
        <f>"9783110480795"</f>
        <v>9783110480795</v>
      </c>
    </row>
    <row r="5851" spans="1:4" ht="30" x14ac:dyDescent="0.25">
      <c r="A5851" s="7" t="s">
        <v>9462</v>
      </c>
      <c r="B5851" s="8" t="s">
        <v>9463</v>
      </c>
      <c r="C5851" s="8" t="s">
        <v>1332</v>
      </c>
      <c r="D5851" s="8" t="str">
        <f>"9781789061963"</f>
        <v>9781789061963</v>
      </c>
    </row>
    <row r="5852" spans="1:4" x14ac:dyDescent="0.25">
      <c r="A5852" s="7" t="s">
        <v>2204</v>
      </c>
      <c r="B5852" s="8" t="s">
        <v>2205</v>
      </c>
      <c r="C5852" s="8" t="s">
        <v>355</v>
      </c>
      <c r="D5852" s="8" t="str">
        <f>"9783110370195"</f>
        <v>9783110370195</v>
      </c>
    </row>
    <row r="5853" spans="1:4" x14ac:dyDescent="0.25">
      <c r="A5853" s="7" t="s">
        <v>5617</v>
      </c>
      <c r="B5853" s="8" t="s">
        <v>5618</v>
      </c>
      <c r="C5853" s="8" t="s">
        <v>4245</v>
      </c>
      <c r="D5853" s="8" t="str">
        <f>"9789812872456"</f>
        <v>9789812872456</v>
      </c>
    </row>
    <row r="5854" spans="1:4" x14ac:dyDescent="0.25">
      <c r="A5854" s="7" t="s">
        <v>1997</v>
      </c>
      <c r="B5854" s="8" t="s">
        <v>1998</v>
      </c>
      <c r="C5854" s="8" t="s">
        <v>1962</v>
      </c>
      <c r="D5854" s="8" t="str">
        <f>"9782759207268"</f>
        <v>9782759207268</v>
      </c>
    </row>
    <row r="5855" spans="1:4" ht="30" x14ac:dyDescent="0.25">
      <c r="A5855" s="7" t="s">
        <v>1858</v>
      </c>
      <c r="B5855" s="8" t="s">
        <v>1859</v>
      </c>
      <c r="C5855" s="8" t="s">
        <v>1345</v>
      </c>
      <c r="D5855" s="8" t="str">
        <f>"9783862199136"</f>
        <v>9783862199136</v>
      </c>
    </row>
    <row r="5856" spans="1:4" x14ac:dyDescent="0.25">
      <c r="A5856" s="7" t="s">
        <v>4717</v>
      </c>
      <c r="B5856" s="8" t="s">
        <v>4718</v>
      </c>
      <c r="C5856" s="8" t="s">
        <v>1865</v>
      </c>
      <c r="D5856" s="8" t="str">
        <f>"9789176850091"</f>
        <v>9789176850091</v>
      </c>
    </row>
    <row r="5857" spans="1:4" ht="30" x14ac:dyDescent="0.25">
      <c r="A5857" s="7" t="s">
        <v>6127</v>
      </c>
      <c r="B5857" s="8" t="s">
        <v>6128</v>
      </c>
      <c r="C5857" s="8" t="s">
        <v>5484</v>
      </c>
      <c r="D5857" s="8" t="str">
        <f>"9781430265726"</f>
        <v>9781430265726</v>
      </c>
    </row>
    <row r="5858" spans="1:4" ht="30" x14ac:dyDescent="0.25">
      <c r="A5858" s="7" t="s">
        <v>12686</v>
      </c>
      <c r="B5858" s="8" t="s">
        <v>12687</v>
      </c>
      <c r="C5858" s="8" t="s">
        <v>993</v>
      </c>
      <c r="D5858" s="8" t="str">
        <f>"9783839459645"</f>
        <v>9783839459645</v>
      </c>
    </row>
    <row r="5859" spans="1:4" x14ac:dyDescent="0.25">
      <c r="A5859" s="7" t="s">
        <v>11803</v>
      </c>
      <c r="B5859" s="8" t="s">
        <v>11804</v>
      </c>
      <c r="C5859" s="8" t="s">
        <v>355</v>
      </c>
      <c r="D5859" s="8" t="str">
        <f>"9783111482026"</f>
        <v>9783111482026</v>
      </c>
    </row>
    <row r="5860" spans="1:4" x14ac:dyDescent="0.25">
      <c r="A5860" s="7" t="s">
        <v>5554</v>
      </c>
      <c r="B5860" s="8" t="s">
        <v>5555</v>
      </c>
      <c r="C5860" s="8" t="s">
        <v>1879</v>
      </c>
      <c r="D5860" s="8" t="str">
        <f>"9781800640559"</f>
        <v>9781800640559</v>
      </c>
    </row>
    <row r="5861" spans="1:4" x14ac:dyDescent="0.25">
      <c r="A5861" s="7" t="s">
        <v>12118</v>
      </c>
      <c r="B5861" s="8" t="s">
        <v>12119</v>
      </c>
      <c r="C5861" s="8" t="s">
        <v>355</v>
      </c>
      <c r="D5861" s="8" t="str">
        <f>"9783035624052"</f>
        <v>9783035624052</v>
      </c>
    </row>
    <row r="5862" spans="1:4" x14ac:dyDescent="0.25">
      <c r="A5862" s="7" t="s">
        <v>3858</v>
      </c>
      <c r="B5862" s="8" t="s">
        <v>3859</v>
      </c>
      <c r="C5862" s="8" t="s">
        <v>355</v>
      </c>
      <c r="D5862" s="8" t="str">
        <f>"9783110522143"</f>
        <v>9783110522143</v>
      </c>
    </row>
    <row r="5863" spans="1:4" x14ac:dyDescent="0.25">
      <c r="A5863" s="7" t="s">
        <v>2192</v>
      </c>
      <c r="B5863" s="8" t="s">
        <v>2193</v>
      </c>
      <c r="C5863" s="8" t="s">
        <v>329</v>
      </c>
      <c r="D5863" s="8" t="str">
        <f>"9789048524235"</f>
        <v>9789048524235</v>
      </c>
    </row>
    <row r="5864" spans="1:4" x14ac:dyDescent="0.25">
      <c r="A5864" s="7" t="s">
        <v>1014</v>
      </c>
      <c r="B5864" s="8" t="s">
        <v>67</v>
      </c>
      <c r="C5864" s="8" t="s">
        <v>329</v>
      </c>
      <c r="D5864" s="8" t="str">
        <f>"9789048523030"</f>
        <v>9789048523030</v>
      </c>
    </row>
    <row r="5865" spans="1:4" ht="30" x14ac:dyDescent="0.25">
      <c r="A5865" s="7" t="s">
        <v>15501</v>
      </c>
      <c r="B5865" s="8" t="s">
        <v>3201</v>
      </c>
      <c r="C5865" s="8" t="s">
        <v>1865</v>
      </c>
      <c r="D5865" s="8" t="str">
        <f>"9789175193397"</f>
        <v>9789175193397</v>
      </c>
    </row>
    <row r="5866" spans="1:4" x14ac:dyDescent="0.25">
      <c r="A5866" s="7" t="s">
        <v>897</v>
      </c>
      <c r="B5866" s="8" t="s">
        <v>898</v>
      </c>
      <c r="C5866" s="8" t="s">
        <v>355</v>
      </c>
      <c r="D5866" s="8" t="str">
        <f>"9783110401745"</f>
        <v>9783110401745</v>
      </c>
    </row>
    <row r="5867" spans="1:4" x14ac:dyDescent="0.25">
      <c r="A5867" s="7" t="s">
        <v>1503</v>
      </c>
      <c r="B5867" s="8" t="s">
        <v>1504</v>
      </c>
      <c r="C5867" s="8" t="s">
        <v>1345</v>
      </c>
      <c r="D5867" s="8" t="str">
        <f>"9783862194612"</f>
        <v>9783862194612</v>
      </c>
    </row>
    <row r="5868" spans="1:4" ht="30" x14ac:dyDescent="0.25">
      <c r="A5868" s="7" t="s">
        <v>5218</v>
      </c>
      <c r="B5868" s="8" t="s">
        <v>5219</v>
      </c>
      <c r="C5868" s="8" t="s">
        <v>2273</v>
      </c>
      <c r="D5868" s="8" t="str">
        <f>"9783030474324"</f>
        <v>9783030474324</v>
      </c>
    </row>
    <row r="5869" spans="1:4" ht="30" x14ac:dyDescent="0.25">
      <c r="A5869" s="7" t="s">
        <v>16371</v>
      </c>
      <c r="B5869" s="8" t="s">
        <v>15439</v>
      </c>
      <c r="C5869" s="8" t="s">
        <v>1865</v>
      </c>
      <c r="D5869" s="8" t="str">
        <f>"9789176856505"</f>
        <v>9789176856505</v>
      </c>
    </row>
    <row r="5870" spans="1:4" x14ac:dyDescent="0.25">
      <c r="A5870" s="7" t="s">
        <v>14207</v>
      </c>
      <c r="B5870" s="8" t="s">
        <v>128</v>
      </c>
      <c r="C5870" s="8" t="s">
        <v>9256</v>
      </c>
      <c r="D5870" s="8" t="str">
        <f>"9788028000790"</f>
        <v>9788028000790</v>
      </c>
    </row>
    <row r="5871" spans="1:4" x14ac:dyDescent="0.25">
      <c r="A5871" s="7" t="s">
        <v>9321</v>
      </c>
      <c r="B5871" s="8" t="s">
        <v>9263</v>
      </c>
      <c r="C5871" s="8" t="s">
        <v>9256</v>
      </c>
      <c r="D5871" s="8" t="str">
        <f>"9788021095274"</f>
        <v>9788021095274</v>
      </c>
    </row>
    <row r="5872" spans="1:4" x14ac:dyDescent="0.25">
      <c r="A5872" s="7" t="s">
        <v>11053</v>
      </c>
      <c r="B5872" s="8" t="s">
        <v>11054</v>
      </c>
      <c r="C5872" s="8" t="s">
        <v>6716</v>
      </c>
      <c r="D5872" s="8" t="str">
        <f>"9780472902156"</f>
        <v>9780472902156</v>
      </c>
    </row>
    <row r="5873" spans="1:4" x14ac:dyDescent="0.25">
      <c r="A5873" s="7" t="s">
        <v>11805</v>
      </c>
      <c r="B5873" s="8" t="s">
        <v>11806</v>
      </c>
      <c r="C5873" s="8" t="s">
        <v>355</v>
      </c>
      <c r="D5873" s="8" t="str">
        <f>"9783110736274"</f>
        <v>9783110736274</v>
      </c>
    </row>
    <row r="5874" spans="1:4" x14ac:dyDescent="0.25">
      <c r="A5874" s="7" t="s">
        <v>11172</v>
      </c>
      <c r="B5874" s="8" t="s">
        <v>11173</v>
      </c>
      <c r="C5874" s="8" t="s">
        <v>355</v>
      </c>
      <c r="D5874" s="8" t="str">
        <f>"9783110688719"</f>
        <v>9783110688719</v>
      </c>
    </row>
    <row r="5875" spans="1:4" ht="30" x14ac:dyDescent="0.25">
      <c r="A5875" s="7" t="s">
        <v>12412</v>
      </c>
      <c r="B5875" s="8" t="s">
        <v>12413</v>
      </c>
      <c r="C5875" s="8" t="s">
        <v>355</v>
      </c>
      <c r="D5875" s="8" t="str">
        <f>"9783110758900"</f>
        <v>9783110758900</v>
      </c>
    </row>
    <row r="5876" spans="1:4" x14ac:dyDescent="0.25">
      <c r="A5876" s="7" t="s">
        <v>3713</v>
      </c>
      <c r="B5876" s="8" t="s">
        <v>3714</v>
      </c>
      <c r="C5876" s="8" t="s">
        <v>355</v>
      </c>
      <c r="D5876" s="8" t="str">
        <f>"9783110536690"</f>
        <v>9783110536690</v>
      </c>
    </row>
    <row r="5877" spans="1:4" ht="30" x14ac:dyDescent="0.25">
      <c r="A5877" s="7" t="s">
        <v>10514</v>
      </c>
      <c r="B5877" s="8" t="s">
        <v>10515</v>
      </c>
      <c r="C5877" s="8" t="s">
        <v>993</v>
      </c>
      <c r="D5877" s="8" t="str">
        <f>"9783839458648"</f>
        <v>9783839458648</v>
      </c>
    </row>
    <row r="5878" spans="1:4" x14ac:dyDescent="0.25">
      <c r="A5878" s="7" t="s">
        <v>1329</v>
      </c>
      <c r="B5878" s="8" t="s">
        <v>1330</v>
      </c>
      <c r="C5878" s="8" t="s">
        <v>1224</v>
      </c>
      <c r="D5878" s="8" t="str">
        <f>"9781618116963"</f>
        <v>9781618116963</v>
      </c>
    </row>
    <row r="5879" spans="1:4" x14ac:dyDescent="0.25">
      <c r="A5879" s="7" t="s">
        <v>11189</v>
      </c>
      <c r="B5879" s="8" t="s">
        <v>11190</v>
      </c>
      <c r="C5879" s="8" t="s">
        <v>316</v>
      </c>
      <c r="D5879" s="8" t="str">
        <f>"9783111342429"</f>
        <v>9783111342429</v>
      </c>
    </row>
    <row r="5880" spans="1:4" x14ac:dyDescent="0.25">
      <c r="A5880" s="7" t="s">
        <v>6720</v>
      </c>
      <c r="B5880" s="8" t="s">
        <v>6721</v>
      </c>
      <c r="C5880" s="8" t="s">
        <v>2082</v>
      </c>
      <c r="D5880" s="8" t="str">
        <f>"9780472900404"</f>
        <v>9780472900404</v>
      </c>
    </row>
    <row r="5881" spans="1:4" x14ac:dyDescent="0.25">
      <c r="A5881" s="7" t="s">
        <v>9406</v>
      </c>
      <c r="B5881" s="8" t="s">
        <v>9407</v>
      </c>
      <c r="C5881" s="8" t="s">
        <v>9256</v>
      </c>
      <c r="D5881" s="8" t="str">
        <f>"9788021097872"</f>
        <v>9788021097872</v>
      </c>
    </row>
    <row r="5882" spans="1:4" x14ac:dyDescent="0.25">
      <c r="A5882" s="7" t="s">
        <v>6358</v>
      </c>
      <c r="B5882" s="8" t="s">
        <v>6359</v>
      </c>
      <c r="C5882" s="8" t="s">
        <v>562</v>
      </c>
      <c r="D5882" s="8" t="str">
        <f>"9781478012955"</f>
        <v>9781478012955</v>
      </c>
    </row>
    <row r="5883" spans="1:4" ht="30" x14ac:dyDescent="0.25">
      <c r="A5883" s="7" t="s">
        <v>8976</v>
      </c>
      <c r="B5883" s="8" t="s">
        <v>8977</v>
      </c>
      <c r="C5883" s="8" t="s">
        <v>1879</v>
      </c>
      <c r="D5883" s="8" t="str">
        <f>"9781800642980"</f>
        <v>9781800642980</v>
      </c>
    </row>
    <row r="5884" spans="1:4" x14ac:dyDescent="0.25">
      <c r="A5884" s="7" t="s">
        <v>6689</v>
      </c>
      <c r="B5884" s="8" t="s">
        <v>6690</v>
      </c>
      <c r="C5884" s="8" t="s">
        <v>2273</v>
      </c>
      <c r="D5884" s="8" t="str">
        <f>"9783030565046"</f>
        <v>9783030565046</v>
      </c>
    </row>
    <row r="5885" spans="1:4" x14ac:dyDescent="0.25">
      <c r="A5885" s="7" t="s">
        <v>5452</v>
      </c>
      <c r="B5885" s="8" t="s">
        <v>5453</v>
      </c>
      <c r="C5885" s="8" t="s">
        <v>5064</v>
      </c>
      <c r="D5885" s="8" t="str">
        <f>"9789813230897"</f>
        <v>9789813230897</v>
      </c>
    </row>
    <row r="5886" spans="1:4" x14ac:dyDescent="0.25">
      <c r="A5886" s="7" t="s">
        <v>15447</v>
      </c>
      <c r="B5886" s="8" t="s">
        <v>15448</v>
      </c>
      <c r="C5886" s="8" t="s">
        <v>1865</v>
      </c>
      <c r="D5886" s="8" t="str">
        <f>"9789175197159"</f>
        <v>9789175197159</v>
      </c>
    </row>
    <row r="5887" spans="1:4" x14ac:dyDescent="0.25">
      <c r="A5887" s="7" t="s">
        <v>9582</v>
      </c>
      <c r="B5887" s="8" t="s">
        <v>9583</v>
      </c>
      <c r="C5887" s="8" t="s">
        <v>2273</v>
      </c>
      <c r="D5887" s="8" t="str">
        <f>"9783030968441"</f>
        <v>9783030968441</v>
      </c>
    </row>
    <row r="5888" spans="1:4" x14ac:dyDescent="0.25">
      <c r="A5888" s="7" t="s">
        <v>10825</v>
      </c>
      <c r="B5888" s="8" t="s">
        <v>10826</v>
      </c>
      <c r="C5888" s="8" t="s">
        <v>1342</v>
      </c>
      <c r="D5888" s="8" t="str">
        <f>"9789633865767"</f>
        <v>9789633865767</v>
      </c>
    </row>
    <row r="5889" spans="1:4" x14ac:dyDescent="0.25">
      <c r="A5889" s="7" t="s">
        <v>14166</v>
      </c>
      <c r="B5889" s="8" t="s">
        <v>14167</v>
      </c>
      <c r="C5889" s="8" t="s">
        <v>2273</v>
      </c>
      <c r="D5889" s="8" t="str">
        <f>"9783031106354"</f>
        <v>9783031106354</v>
      </c>
    </row>
    <row r="5890" spans="1:4" ht="30" x14ac:dyDescent="0.25">
      <c r="A5890" s="7" t="s">
        <v>15174</v>
      </c>
      <c r="B5890" s="8" t="s">
        <v>15175</v>
      </c>
      <c r="C5890" s="8" t="s">
        <v>1865</v>
      </c>
      <c r="D5890" s="8" t="str">
        <f>"9789176857243"</f>
        <v>9789176857243</v>
      </c>
    </row>
    <row r="5891" spans="1:4" x14ac:dyDescent="0.25">
      <c r="A5891" s="7" t="s">
        <v>285</v>
      </c>
      <c r="B5891" s="8" t="s">
        <v>286</v>
      </c>
      <c r="C5891" s="8" t="s">
        <v>227</v>
      </c>
      <c r="D5891" s="8" t="str">
        <f>"9781847790446"</f>
        <v>9781847790446</v>
      </c>
    </row>
    <row r="5892" spans="1:4" ht="30" x14ac:dyDescent="0.25">
      <c r="A5892" s="7" t="s">
        <v>11442</v>
      </c>
      <c r="B5892" s="8"/>
      <c r="C5892" s="8" t="s">
        <v>316</v>
      </c>
      <c r="D5892" s="8" t="str">
        <f>"9783110891041"</f>
        <v>9783110891041</v>
      </c>
    </row>
    <row r="5893" spans="1:4" x14ac:dyDescent="0.25">
      <c r="A5893" s="7" t="s">
        <v>14249</v>
      </c>
      <c r="B5893" s="8" t="s">
        <v>14250</v>
      </c>
      <c r="C5893" s="8" t="s">
        <v>2273</v>
      </c>
      <c r="D5893" s="8" t="str">
        <f>"9783031248542"</f>
        <v>9783031248542</v>
      </c>
    </row>
    <row r="5894" spans="1:4" x14ac:dyDescent="0.25">
      <c r="A5894" s="7" t="s">
        <v>2682</v>
      </c>
      <c r="B5894" s="8" t="s">
        <v>2683</v>
      </c>
      <c r="C5894" s="8" t="s">
        <v>1053</v>
      </c>
      <c r="D5894" s="8" t="str">
        <f>"9781607324690"</f>
        <v>9781607324690</v>
      </c>
    </row>
    <row r="5895" spans="1:4" x14ac:dyDescent="0.25">
      <c r="A5895" s="7" t="s">
        <v>8087</v>
      </c>
      <c r="B5895" s="8" t="s">
        <v>8088</v>
      </c>
      <c r="C5895" s="8" t="s">
        <v>6716</v>
      </c>
      <c r="D5895" s="8" t="str">
        <f>"9780472901982"</f>
        <v>9780472901982</v>
      </c>
    </row>
    <row r="5896" spans="1:4" ht="30" x14ac:dyDescent="0.25">
      <c r="A5896" s="7" t="s">
        <v>8444</v>
      </c>
      <c r="B5896" s="8" t="s">
        <v>8445</v>
      </c>
      <c r="C5896" s="8" t="s">
        <v>993</v>
      </c>
      <c r="D5896" s="8" t="str">
        <f>"9783839448885"</f>
        <v>9783839448885</v>
      </c>
    </row>
    <row r="5897" spans="1:4" x14ac:dyDescent="0.25">
      <c r="A5897" s="7" t="s">
        <v>7392</v>
      </c>
      <c r="B5897" s="8" t="s">
        <v>7393</v>
      </c>
      <c r="C5897" s="8" t="s">
        <v>993</v>
      </c>
      <c r="D5897" s="8" t="str">
        <f>"9783839416945"</f>
        <v>9783839416945</v>
      </c>
    </row>
    <row r="5898" spans="1:4" x14ac:dyDescent="0.25">
      <c r="A5898" s="7" t="s">
        <v>7403</v>
      </c>
      <c r="B5898" s="8" t="s">
        <v>7404</v>
      </c>
      <c r="C5898" s="8" t="s">
        <v>1879</v>
      </c>
      <c r="D5898" s="8" t="str">
        <f>"9781800641341"</f>
        <v>9781800641341</v>
      </c>
    </row>
    <row r="5899" spans="1:4" x14ac:dyDescent="0.25">
      <c r="A5899" s="7" t="s">
        <v>9810</v>
      </c>
      <c r="B5899" s="8" t="s">
        <v>9677</v>
      </c>
      <c r="C5899" s="8" t="s">
        <v>993</v>
      </c>
      <c r="D5899" s="8" t="str">
        <f>"9783839405062"</f>
        <v>9783839405062</v>
      </c>
    </row>
    <row r="5900" spans="1:4" x14ac:dyDescent="0.25">
      <c r="A5900" s="7" t="s">
        <v>11708</v>
      </c>
      <c r="B5900" s="8" t="s">
        <v>11709</v>
      </c>
      <c r="C5900" s="8" t="s">
        <v>355</v>
      </c>
      <c r="D5900" s="8" t="str">
        <f>"9783110661439"</f>
        <v>9783110661439</v>
      </c>
    </row>
    <row r="5901" spans="1:4" x14ac:dyDescent="0.25">
      <c r="A5901" s="7" t="s">
        <v>9906</v>
      </c>
      <c r="B5901" s="8" t="s">
        <v>9907</v>
      </c>
      <c r="C5901" s="8" t="s">
        <v>993</v>
      </c>
      <c r="D5901" s="8" t="str">
        <f>"9783839407875"</f>
        <v>9783839407875</v>
      </c>
    </row>
    <row r="5902" spans="1:4" ht="30" x14ac:dyDescent="0.25">
      <c r="A5902" s="7" t="s">
        <v>7544</v>
      </c>
      <c r="B5902" s="8" t="s">
        <v>7545</v>
      </c>
      <c r="C5902" s="8" t="s">
        <v>993</v>
      </c>
      <c r="D5902" s="8" t="str">
        <f>"9783839413104"</f>
        <v>9783839413104</v>
      </c>
    </row>
    <row r="5903" spans="1:4" x14ac:dyDescent="0.25">
      <c r="A5903" s="7" t="s">
        <v>8343</v>
      </c>
      <c r="B5903" s="8" t="s">
        <v>8344</v>
      </c>
      <c r="C5903" s="8" t="s">
        <v>993</v>
      </c>
      <c r="D5903" s="8" t="str">
        <f>"9783839448649"</f>
        <v>9783839448649</v>
      </c>
    </row>
    <row r="5904" spans="1:4" x14ac:dyDescent="0.25">
      <c r="A5904" s="7" t="s">
        <v>8257</v>
      </c>
      <c r="B5904" s="8" t="s">
        <v>8258</v>
      </c>
      <c r="C5904" s="8" t="s">
        <v>993</v>
      </c>
      <c r="D5904" s="8" t="str">
        <f>"9783839442005"</f>
        <v>9783839442005</v>
      </c>
    </row>
    <row r="5905" spans="1:4" ht="30" x14ac:dyDescent="0.25">
      <c r="A5905" s="7" t="s">
        <v>7530</v>
      </c>
      <c r="B5905" s="8" t="s">
        <v>7531</v>
      </c>
      <c r="C5905" s="8" t="s">
        <v>993</v>
      </c>
      <c r="D5905" s="8" t="str">
        <f>"9783839406489"</f>
        <v>9783839406489</v>
      </c>
    </row>
    <row r="5906" spans="1:4" ht="30" x14ac:dyDescent="0.25">
      <c r="A5906" s="7" t="s">
        <v>8164</v>
      </c>
      <c r="B5906" s="8" t="s">
        <v>8165</v>
      </c>
      <c r="C5906" s="8" t="s">
        <v>993</v>
      </c>
      <c r="D5906" s="8" t="str">
        <f>"9783839450222"</f>
        <v>9783839450222</v>
      </c>
    </row>
    <row r="5907" spans="1:4" ht="30" x14ac:dyDescent="0.25">
      <c r="A5907" s="7" t="s">
        <v>9597</v>
      </c>
      <c r="B5907" s="8" t="s">
        <v>9598</v>
      </c>
      <c r="C5907" s="8" t="s">
        <v>5086</v>
      </c>
      <c r="D5907" s="8" t="str">
        <f>"9783658332556"</f>
        <v>9783658332556</v>
      </c>
    </row>
    <row r="5908" spans="1:4" ht="30" x14ac:dyDescent="0.25">
      <c r="A5908" s="7" t="s">
        <v>7930</v>
      </c>
      <c r="B5908" s="8" t="s">
        <v>7931</v>
      </c>
      <c r="C5908" s="8" t="s">
        <v>5086</v>
      </c>
      <c r="D5908" s="8" t="str">
        <f>"9783658354121"</f>
        <v>9783658354121</v>
      </c>
    </row>
    <row r="5909" spans="1:4" x14ac:dyDescent="0.25">
      <c r="A5909" s="7" t="s">
        <v>1655</v>
      </c>
      <c r="B5909" s="8" t="s">
        <v>1656</v>
      </c>
      <c r="C5909" s="8" t="s">
        <v>1345</v>
      </c>
      <c r="D5909" s="8" t="str">
        <f>"9783862193394"</f>
        <v>9783862193394</v>
      </c>
    </row>
    <row r="5910" spans="1:4" ht="30" x14ac:dyDescent="0.25">
      <c r="A5910" s="7" t="s">
        <v>7428</v>
      </c>
      <c r="B5910" s="8" t="s">
        <v>7429</v>
      </c>
      <c r="C5910" s="8" t="s">
        <v>993</v>
      </c>
      <c r="D5910" s="8" t="str">
        <f>"9783839437100"</f>
        <v>9783839437100</v>
      </c>
    </row>
    <row r="5911" spans="1:4" x14ac:dyDescent="0.25">
      <c r="A5911" s="7" t="s">
        <v>10280</v>
      </c>
      <c r="B5911" s="8" t="s">
        <v>10281</v>
      </c>
      <c r="C5911" s="8" t="s">
        <v>993</v>
      </c>
      <c r="D5911" s="8" t="str">
        <f>"9783839447475"</f>
        <v>9783839447475</v>
      </c>
    </row>
    <row r="5912" spans="1:4" ht="30" x14ac:dyDescent="0.25">
      <c r="A5912" s="7" t="s">
        <v>2107</v>
      </c>
      <c r="B5912" s="8" t="s">
        <v>2108</v>
      </c>
      <c r="C5912" s="8" t="s">
        <v>1345</v>
      </c>
      <c r="D5912" s="8" t="str">
        <f>"9783862199655"</f>
        <v>9783862199655</v>
      </c>
    </row>
    <row r="5913" spans="1:4" x14ac:dyDescent="0.25">
      <c r="A5913" s="7" t="s">
        <v>13030</v>
      </c>
      <c r="B5913" s="8" t="s">
        <v>13031</v>
      </c>
      <c r="C5913" s="8" t="s">
        <v>12712</v>
      </c>
      <c r="D5913" s="8" t="str">
        <f>"9783428476626"</f>
        <v>9783428476626</v>
      </c>
    </row>
    <row r="5914" spans="1:4" x14ac:dyDescent="0.25">
      <c r="A5914" s="7" t="s">
        <v>12362</v>
      </c>
      <c r="B5914" s="8" t="s">
        <v>12363</v>
      </c>
      <c r="C5914" s="8" t="s">
        <v>993</v>
      </c>
      <c r="D5914" s="8" t="str">
        <f>"9783839463789"</f>
        <v>9783839463789</v>
      </c>
    </row>
    <row r="5915" spans="1:4" x14ac:dyDescent="0.25">
      <c r="A5915" s="7" t="s">
        <v>7761</v>
      </c>
      <c r="B5915" s="8" t="s">
        <v>7762</v>
      </c>
      <c r="C5915" s="8" t="s">
        <v>993</v>
      </c>
      <c r="D5915" s="8" t="str">
        <f>"9783839404102"</f>
        <v>9783839404102</v>
      </c>
    </row>
    <row r="5916" spans="1:4" x14ac:dyDescent="0.25">
      <c r="A5916" s="7" t="s">
        <v>11888</v>
      </c>
      <c r="B5916" s="8" t="s">
        <v>11889</v>
      </c>
      <c r="C5916" s="8" t="s">
        <v>355</v>
      </c>
      <c r="D5916" s="8" t="str">
        <f>"9783110894752"</f>
        <v>9783110894752</v>
      </c>
    </row>
    <row r="5917" spans="1:4" ht="30" x14ac:dyDescent="0.25">
      <c r="A5917" s="7" t="s">
        <v>2428</v>
      </c>
      <c r="B5917" s="8" t="s">
        <v>2429</v>
      </c>
      <c r="C5917" s="8" t="s">
        <v>1865</v>
      </c>
      <c r="D5917" s="8" t="str">
        <f>"9789176859865"</f>
        <v>9789176859865</v>
      </c>
    </row>
    <row r="5918" spans="1:4" x14ac:dyDescent="0.25">
      <c r="A5918" s="7" t="s">
        <v>4263</v>
      </c>
      <c r="B5918" s="8" t="s">
        <v>4264</v>
      </c>
      <c r="C5918" s="8" t="s">
        <v>1865</v>
      </c>
      <c r="D5918" s="8" t="str">
        <f>"9789176851463"</f>
        <v>9789176851463</v>
      </c>
    </row>
    <row r="5919" spans="1:4" x14ac:dyDescent="0.25">
      <c r="A5919" s="7" t="s">
        <v>4713</v>
      </c>
      <c r="B5919" s="8" t="s">
        <v>4714</v>
      </c>
      <c r="C5919" s="8" t="s">
        <v>1865</v>
      </c>
      <c r="D5919" s="8" t="str">
        <f>"9789179299842"</f>
        <v>9789179299842</v>
      </c>
    </row>
    <row r="5920" spans="1:4" x14ac:dyDescent="0.25">
      <c r="A5920" s="7" t="s">
        <v>10601</v>
      </c>
      <c r="B5920" s="8" t="s">
        <v>10602</v>
      </c>
      <c r="C5920" s="8" t="s">
        <v>993</v>
      </c>
      <c r="D5920" s="8" t="str">
        <f>"9783839461563"</f>
        <v>9783839461563</v>
      </c>
    </row>
    <row r="5921" spans="1:4" x14ac:dyDescent="0.25">
      <c r="A5921" s="7" t="s">
        <v>9686</v>
      </c>
      <c r="B5921" s="8" t="s">
        <v>9687</v>
      </c>
      <c r="C5921" s="8" t="s">
        <v>993</v>
      </c>
      <c r="D5921" s="8" t="str">
        <f>"9783839401507"</f>
        <v>9783839401507</v>
      </c>
    </row>
    <row r="5922" spans="1:4" ht="30" x14ac:dyDescent="0.25">
      <c r="A5922" s="7" t="s">
        <v>8543</v>
      </c>
      <c r="B5922" s="8" t="s">
        <v>8544</v>
      </c>
      <c r="C5922" s="8" t="s">
        <v>993</v>
      </c>
      <c r="D5922" s="8" t="str">
        <f>"9783839455272"</f>
        <v>9783839455272</v>
      </c>
    </row>
    <row r="5923" spans="1:4" x14ac:dyDescent="0.25">
      <c r="A5923" s="7" t="s">
        <v>10193</v>
      </c>
      <c r="B5923" s="8" t="s">
        <v>10194</v>
      </c>
      <c r="C5923" s="8" t="s">
        <v>993</v>
      </c>
      <c r="D5923" s="8" t="str">
        <f>"9783839443583"</f>
        <v>9783839443583</v>
      </c>
    </row>
    <row r="5924" spans="1:4" ht="30" x14ac:dyDescent="0.25">
      <c r="A5924" s="7" t="s">
        <v>10657</v>
      </c>
      <c r="B5924" s="8" t="s">
        <v>10658</v>
      </c>
      <c r="C5924" s="8" t="s">
        <v>5086</v>
      </c>
      <c r="D5924" s="8" t="str">
        <f>"9783658375126"</f>
        <v>9783658375126</v>
      </c>
    </row>
    <row r="5925" spans="1:4" x14ac:dyDescent="0.25">
      <c r="A5925" s="7" t="s">
        <v>10245</v>
      </c>
      <c r="B5925" s="8" t="s">
        <v>10246</v>
      </c>
      <c r="C5925" s="8" t="s">
        <v>993</v>
      </c>
      <c r="D5925" s="8" t="str">
        <f>"9783839445983"</f>
        <v>9783839445983</v>
      </c>
    </row>
    <row r="5926" spans="1:4" ht="30" x14ac:dyDescent="0.25">
      <c r="A5926" s="7" t="s">
        <v>501</v>
      </c>
      <c r="B5926" s="8" t="s">
        <v>502</v>
      </c>
      <c r="C5926" s="8" t="s">
        <v>316</v>
      </c>
      <c r="D5926" s="8" t="str">
        <f>"9783110266306"</f>
        <v>9783110266306</v>
      </c>
    </row>
    <row r="5927" spans="1:4" ht="30" x14ac:dyDescent="0.25">
      <c r="A5927" s="7" t="s">
        <v>2765</v>
      </c>
      <c r="B5927" s="8" t="s">
        <v>2766</v>
      </c>
      <c r="C5927" s="8" t="s">
        <v>227</v>
      </c>
      <c r="D5927" s="8" t="str">
        <f>"9781847799777"</f>
        <v>9781847799777</v>
      </c>
    </row>
    <row r="5928" spans="1:4" x14ac:dyDescent="0.25">
      <c r="A5928" s="7" t="s">
        <v>14096</v>
      </c>
      <c r="B5928" s="8" t="s">
        <v>14097</v>
      </c>
      <c r="C5928" s="8" t="s">
        <v>993</v>
      </c>
      <c r="D5928" s="8" t="str">
        <f>"9783839465400"</f>
        <v>9783839465400</v>
      </c>
    </row>
    <row r="5929" spans="1:4" ht="30" x14ac:dyDescent="0.25">
      <c r="A5929" s="7" t="s">
        <v>10484</v>
      </c>
      <c r="B5929" s="8" t="s">
        <v>10485</v>
      </c>
      <c r="C5929" s="8" t="s">
        <v>993</v>
      </c>
      <c r="D5929" s="8" t="str">
        <f>"9783839457825"</f>
        <v>9783839457825</v>
      </c>
    </row>
    <row r="5930" spans="1:4" x14ac:dyDescent="0.25">
      <c r="A5930" s="7" t="s">
        <v>14216</v>
      </c>
      <c r="B5930" s="8" t="s">
        <v>14217</v>
      </c>
      <c r="C5930" s="8" t="s">
        <v>9256</v>
      </c>
      <c r="D5930" s="8" t="str">
        <f>"9788028001193"</f>
        <v>9788028001193</v>
      </c>
    </row>
    <row r="5931" spans="1:4" x14ac:dyDescent="0.25">
      <c r="A5931" s="7" t="s">
        <v>2903</v>
      </c>
      <c r="B5931" s="8" t="s">
        <v>2904</v>
      </c>
      <c r="C5931" s="8" t="s">
        <v>316</v>
      </c>
      <c r="D5931" s="8" t="str">
        <f>"9781501502071"</f>
        <v>9781501502071</v>
      </c>
    </row>
    <row r="5932" spans="1:4" x14ac:dyDescent="0.25">
      <c r="A5932" s="7" t="s">
        <v>9990</v>
      </c>
      <c r="B5932" s="8" t="s">
        <v>9991</v>
      </c>
      <c r="C5932" s="8" t="s">
        <v>993</v>
      </c>
      <c r="D5932" s="8" t="str">
        <f>"9783839409497"</f>
        <v>9783839409497</v>
      </c>
    </row>
    <row r="5933" spans="1:4" x14ac:dyDescent="0.25">
      <c r="A5933" s="7" t="s">
        <v>963</v>
      </c>
      <c r="B5933" s="8" t="s">
        <v>964</v>
      </c>
      <c r="C5933" s="8" t="s">
        <v>562</v>
      </c>
      <c r="D5933" s="8" t="str">
        <f>"9780822376125"</f>
        <v>9780822376125</v>
      </c>
    </row>
    <row r="5934" spans="1:4" x14ac:dyDescent="0.25">
      <c r="A5934" s="7" t="s">
        <v>10309</v>
      </c>
      <c r="B5934" s="8" t="s">
        <v>10310</v>
      </c>
      <c r="C5934" s="8" t="s">
        <v>993</v>
      </c>
      <c r="D5934" s="8" t="str">
        <f>"9783839448465"</f>
        <v>9783839448465</v>
      </c>
    </row>
    <row r="5935" spans="1:4" x14ac:dyDescent="0.25">
      <c r="A5935" s="7" t="s">
        <v>12005</v>
      </c>
      <c r="B5935" s="8" t="s">
        <v>12006</v>
      </c>
      <c r="C5935" s="8" t="s">
        <v>355</v>
      </c>
      <c r="D5935" s="8" t="str">
        <f>"9783110748703"</f>
        <v>9783110748703</v>
      </c>
    </row>
    <row r="5936" spans="1:4" ht="30" x14ac:dyDescent="0.25">
      <c r="A5936" s="7" t="s">
        <v>696</v>
      </c>
      <c r="B5936" s="8" t="s">
        <v>698</v>
      </c>
      <c r="C5936" s="8" t="s">
        <v>697</v>
      </c>
      <c r="D5936" s="8" t="str">
        <f>"9789004248168"</f>
        <v>9789004248168</v>
      </c>
    </row>
    <row r="5937" spans="1:4" x14ac:dyDescent="0.25">
      <c r="A5937" s="7" t="s">
        <v>15545</v>
      </c>
      <c r="B5937" s="8" t="s">
        <v>4343</v>
      </c>
      <c r="C5937" s="8" t="s">
        <v>1865</v>
      </c>
      <c r="D5937" s="8" t="str">
        <f>"9789176855591"</f>
        <v>9789176855591</v>
      </c>
    </row>
    <row r="5938" spans="1:4" x14ac:dyDescent="0.25">
      <c r="A5938" s="7" t="s">
        <v>10426</v>
      </c>
      <c r="B5938" s="8" t="s">
        <v>10427</v>
      </c>
      <c r="C5938" s="8" t="s">
        <v>993</v>
      </c>
      <c r="D5938" s="8" t="str">
        <f>"9783839456422"</f>
        <v>9783839456422</v>
      </c>
    </row>
    <row r="5939" spans="1:4" x14ac:dyDescent="0.25">
      <c r="A5939" s="7" t="s">
        <v>12235</v>
      </c>
      <c r="B5939" s="8" t="s">
        <v>12236</v>
      </c>
      <c r="C5939" s="8" t="s">
        <v>355</v>
      </c>
      <c r="D5939" s="8" t="str">
        <f>"9783110786279"</f>
        <v>9783110786279</v>
      </c>
    </row>
    <row r="5940" spans="1:4" ht="30" x14ac:dyDescent="0.25">
      <c r="A5940" s="7" t="s">
        <v>10556</v>
      </c>
      <c r="B5940" s="8" t="s">
        <v>10557</v>
      </c>
      <c r="C5940" s="8" t="s">
        <v>993</v>
      </c>
      <c r="D5940" s="8" t="str">
        <f>"9783839459782"</f>
        <v>9783839459782</v>
      </c>
    </row>
    <row r="5941" spans="1:4" x14ac:dyDescent="0.25">
      <c r="A5941" s="7" t="s">
        <v>260</v>
      </c>
      <c r="B5941" s="8" t="s">
        <v>261</v>
      </c>
      <c r="C5941" s="8" t="s">
        <v>227</v>
      </c>
      <c r="D5941" s="8" t="str">
        <f>"9781847790194"</f>
        <v>9781847790194</v>
      </c>
    </row>
    <row r="5942" spans="1:4" ht="30" x14ac:dyDescent="0.25">
      <c r="A5942" s="7" t="s">
        <v>10265</v>
      </c>
      <c r="B5942" s="8" t="s">
        <v>10266</v>
      </c>
      <c r="C5942" s="8" t="s">
        <v>993</v>
      </c>
      <c r="D5942" s="8" t="str">
        <f>"9783839446706"</f>
        <v>9783839446706</v>
      </c>
    </row>
    <row r="5943" spans="1:4" x14ac:dyDescent="0.25">
      <c r="A5943" s="7" t="s">
        <v>7308</v>
      </c>
      <c r="B5943" s="8" t="s">
        <v>7309</v>
      </c>
      <c r="C5943" s="8" t="s">
        <v>2273</v>
      </c>
      <c r="D5943" s="8" t="str">
        <f>"9783030737702"</f>
        <v>9783030737702</v>
      </c>
    </row>
    <row r="5944" spans="1:4" x14ac:dyDescent="0.25">
      <c r="A5944" s="7" t="s">
        <v>10562</v>
      </c>
      <c r="B5944" s="8" t="s">
        <v>10563</v>
      </c>
      <c r="C5944" s="8" t="s">
        <v>993</v>
      </c>
      <c r="D5944" s="8" t="str">
        <f>"9783839459973"</f>
        <v>9783839459973</v>
      </c>
    </row>
    <row r="5945" spans="1:4" x14ac:dyDescent="0.25">
      <c r="A5945" s="7" t="s">
        <v>10465</v>
      </c>
      <c r="B5945" s="8" t="s">
        <v>7535</v>
      </c>
      <c r="C5945" s="8" t="s">
        <v>993</v>
      </c>
      <c r="D5945" s="8" t="str">
        <f>"9783839457337"</f>
        <v>9783839457337</v>
      </c>
    </row>
    <row r="5946" spans="1:4" x14ac:dyDescent="0.25">
      <c r="A5946" s="7" t="s">
        <v>9202</v>
      </c>
      <c r="B5946" s="8" t="s">
        <v>9203</v>
      </c>
      <c r="C5946" s="8" t="s">
        <v>4882</v>
      </c>
      <c r="D5946" s="8" t="str">
        <f>"9781786949363"</f>
        <v>9781786949363</v>
      </c>
    </row>
    <row r="5947" spans="1:4" x14ac:dyDescent="0.25">
      <c r="A5947" s="7" t="s">
        <v>8390</v>
      </c>
      <c r="B5947" s="8" t="s">
        <v>8391</v>
      </c>
      <c r="C5947" s="8" t="s">
        <v>993</v>
      </c>
      <c r="D5947" s="8" t="str">
        <f>"9783839439166"</f>
        <v>9783839439166</v>
      </c>
    </row>
    <row r="5948" spans="1:4" x14ac:dyDescent="0.25">
      <c r="A5948" s="7" t="s">
        <v>10303</v>
      </c>
      <c r="B5948" s="8" t="s">
        <v>10304</v>
      </c>
      <c r="C5948" s="8" t="s">
        <v>993</v>
      </c>
      <c r="D5948" s="8" t="str">
        <f>"9783839448403"</f>
        <v>9783839448403</v>
      </c>
    </row>
    <row r="5949" spans="1:4" x14ac:dyDescent="0.25">
      <c r="A5949" s="7" t="s">
        <v>2743</v>
      </c>
      <c r="B5949" s="8" t="s">
        <v>1265</v>
      </c>
      <c r="C5949" s="8" t="s">
        <v>1224</v>
      </c>
      <c r="D5949" s="8" t="str">
        <f>"9781618115591"</f>
        <v>9781618115591</v>
      </c>
    </row>
    <row r="5950" spans="1:4" x14ac:dyDescent="0.25">
      <c r="A5950" s="7" t="s">
        <v>4490</v>
      </c>
      <c r="B5950" s="8"/>
      <c r="C5950" s="8"/>
      <c r="D5950" s="8"/>
    </row>
    <row r="5951" spans="1:4" ht="30" x14ac:dyDescent="0.25">
      <c r="A5951" s="7" t="s">
        <v>7733</v>
      </c>
      <c r="B5951" s="8" t="s">
        <v>119</v>
      </c>
      <c r="C5951" s="8" t="s">
        <v>993</v>
      </c>
      <c r="D5951" s="8" t="str">
        <f>"9783839431016"</f>
        <v>9783839431016</v>
      </c>
    </row>
    <row r="5952" spans="1:4" x14ac:dyDescent="0.25">
      <c r="A5952" s="7" t="s">
        <v>9449</v>
      </c>
      <c r="B5952" s="8" t="s">
        <v>132</v>
      </c>
      <c r="C5952" s="8" t="s">
        <v>9256</v>
      </c>
      <c r="D5952" s="8" t="str">
        <f>"9788021099579"</f>
        <v>9788021099579</v>
      </c>
    </row>
    <row r="5953" spans="1:4" x14ac:dyDescent="0.25">
      <c r="A5953" s="7" t="s">
        <v>8228</v>
      </c>
      <c r="B5953" s="8" t="s">
        <v>7535</v>
      </c>
      <c r="C5953" s="8" t="s">
        <v>993</v>
      </c>
      <c r="D5953" s="8" t="str">
        <f>"9783839451809"</f>
        <v>9783839451809</v>
      </c>
    </row>
    <row r="5954" spans="1:4" ht="30" x14ac:dyDescent="0.25">
      <c r="A5954" s="7" t="s">
        <v>7980</v>
      </c>
      <c r="B5954" s="8" t="s">
        <v>7981</v>
      </c>
      <c r="C5954" s="8" t="s">
        <v>1962</v>
      </c>
      <c r="D5954" s="8" t="str">
        <f>"9782759231188"</f>
        <v>9782759231188</v>
      </c>
    </row>
    <row r="5955" spans="1:4" ht="30" x14ac:dyDescent="0.25">
      <c r="A5955" s="7" t="s">
        <v>298</v>
      </c>
      <c r="B5955" s="8" t="s">
        <v>299</v>
      </c>
      <c r="C5955" s="8" t="s">
        <v>227</v>
      </c>
      <c r="D5955" s="8" t="str">
        <f>"9781847790460"</f>
        <v>9781847790460</v>
      </c>
    </row>
    <row r="5956" spans="1:4" x14ac:dyDescent="0.25">
      <c r="A5956" s="7" t="s">
        <v>6041</v>
      </c>
      <c r="B5956" s="8" t="s">
        <v>6042</v>
      </c>
      <c r="C5956" s="8" t="s">
        <v>4245</v>
      </c>
      <c r="D5956" s="8" t="str">
        <f>"9789812874207"</f>
        <v>9789812874207</v>
      </c>
    </row>
    <row r="5957" spans="1:4" x14ac:dyDescent="0.25">
      <c r="A5957" s="7" t="s">
        <v>14197</v>
      </c>
      <c r="B5957" s="8" t="s">
        <v>9311</v>
      </c>
      <c r="C5957" s="8" t="s">
        <v>9256</v>
      </c>
      <c r="D5957" s="8" t="str">
        <f>"9788028000301"</f>
        <v>9788028000301</v>
      </c>
    </row>
    <row r="5958" spans="1:4" x14ac:dyDescent="0.25">
      <c r="A5958" s="7" t="s">
        <v>10214</v>
      </c>
      <c r="B5958" s="8" t="s">
        <v>10215</v>
      </c>
      <c r="C5958" s="8" t="s">
        <v>993</v>
      </c>
      <c r="D5958" s="8" t="str">
        <f>"9783839444979"</f>
        <v>9783839444979</v>
      </c>
    </row>
    <row r="5959" spans="1:4" x14ac:dyDescent="0.25">
      <c r="A5959" s="7" t="s">
        <v>15383</v>
      </c>
      <c r="B5959" s="8" t="s">
        <v>6938</v>
      </c>
      <c r="C5959" s="8" t="s">
        <v>1865</v>
      </c>
      <c r="D5959" s="8" t="str">
        <f>"9789175190006"</f>
        <v>9789175190006</v>
      </c>
    </row>
    <row r="5960" spans="1:4" ht="30" x14ac:dyDescent="0.25">
      <c r="A5960" s="7" t="s">
        <v>7489</v>
      </c>
      <c r="B5960" s="8" t="s">
        <v>7490</v>
      </c>
      <c r="C5960" s="8" t="s">
        <v>993</v>
      </c>
      <c r="D5960" s="8" t="str">
        <f>"9783839436608"</f>
        <v>9783839436608</v>
      </c>
    </row>
    <row r="5961" spans="1:4" x14ac:dyDescent="0.25">
      <c r="A5961" s="7" t="s">
        <v>1417</v>
      </c>
      <c r="B5961" s="8" t="s">
        <v>1418</v>
      </c>
      <c r="C5961" s="8" t="s">
        <v>1345</v>
      </c>
      <c r="D5961" s="8" t="str">
        <f>"9783862190232"</f>
        <v>9783862190232</v>
      </c>
    </row>
    <row r="5962" spans="1:4" x14ac:dyDescent="0.25">
      <c r="A5962" s="7" t="s">
        <v>1650</v>
      </c>
      <c r="B5962" s="8" t="s">
        <v>1651</v>
      </c>
      <c r="C5962" s="8" t="s">
        <v>1345</v>
      </c>
      <c r="D5962" s="8" t="str">
        <f>"9783862194933"</f>
        <v>9783862194933</v>
      </c>
    </row>
    <row r="5963" spans="1:4" x14ac:dyDescent="0.25">
      <c r="A5963" s="7" t="s">
        <v>10524</v>
      </c>
      <c r="B5963" s="8" t="s">
        <v>10525</v>
      </c>
      <c r="C5963" s="8" t="s">
        <v>993</v>
      </c>
      <c r="D5963" s="8" t="str">
        <f>"9783839458808"</f>
        <v>9783839458808</v>
      </c>
    </row>
    <row r="5964" spans="1:4" x14ac:dyDescent="0.25">
      <c r="A5964" s="7" t="s">
        <v>11272</v>
      </c>
      <c r="B5964" s="8" t="s">
        <v>7100</v>
      </c>
      <c r="C5964" s="8" t="s">
        <v>355</v>
      </c>
      <c r="D5964" s="8" t="str">
        <f>"9783110713367"</f>
        <v>9783110713367</v>
      </c>
    </row>
    <row r="5965" spans="1:4" x14ac:dyDescent="0.25">
      <c r="A5965" s="7" t="s">
        <v>1864</v>
      </c>
      <c r="B5965" s="8" t="s">
        <v>1866</v>
      </c>
      <c r="C5965" s="8" t="s">
        <v>1865</v>
      </c>
      <c r="D5965" s="8" t="str">
        <f>"9789175196039"</f>
        <v>9789175196039</v>
      </c>
    </row>
    <row r="5966" spans="1:4" x14ac:dyDescent="0.25">
      <c r="A5966" s="7" t="s">
        <v>13489</v>
      </c>
      <c r="B5966" s="8" t="s">
        <v>13490</v>
      </c>
      <c r="C5966" s="8" t="s">
        <v>2273</v>
      </c>
      <c r="D5966" s="8" t="str">
        <f>"9783031117015"</f>
        <v>9783031117015</v>
      </c>
    </row>
    <row r="5967" spans="1:4" ht="30" x14ac:dyDescent="0.25">
      <c r="A5967" s="7" t="s">
        <v>5981</v>
      </c>
      <c r="B5967" s="8" t="s">
        <v>5982</v>
      </c>
      <c r="C5967" s="8" t="s">
        <v>2273</v>
      </c>
      <c r="D5967" s="8" t="str">
        <f>"9783319457697"</f>
        <v>9783319457697</v>
      </c>
    </row>
    <row r="5968" spans="1:4" x14ac:dyDescent="0.25">
      <c r="A5968" s="7" t="s">
        <v>10359</v>
      </c>
      <c r="B5968" s="8" t="s">
        <v>10360</v>
      </c>
      <c r="C5968" s="8" t="s">
        <v>993</v>
      </c>
      <c r="D5968" s="8" t="str">
        <f>"9783839451663"</f>
        <v>9783839451663</v>
      </c>
    </row>
    <row r="5969" spans="1:4" x14ac:dyDescent="0.25">
      <c r="A5969" s="7" t="s">
        <v>8388</v>
      </c>
      <c r="B5969" s="8" t="s">
        <v>8389</v>
      </c>
      <c r="C5969" s="8" t="s">
        <v>993</v>
      </c>
      <c r="D5969" s="8" t="str">
        <f>"9783839447512"</f>
        <v>9783839447512</v>
      </c>
    </row>
    <row r="5970" spans="1:4" x14ac:dyDescent="0.25">
      <c r="A5970" s="7" t="s">
        <v>10478</v>
      </c>
      <c r="B5970" s="8" t="s">
        <v>10479</v>
      </c>
      <c r="C5970" s="8" t="s">
        <v>993</v>
      </c>
      <c r="D5970" s="8" t="str">
        <f>"9783839457603"</f>
        <v>9783839457603</v>
      </c>
    </row>
    <row r="5971" spans="1:4" x14ac:dyDescent="0.25">
      <c r="A5971" s="7" t="s">
        <v>5879</v>
      </c>
      <c r="B5971" s="8" t="s">
        <v>5880</v>
      </c>
      <c r="C5971" s="8" t="s">
        <v>4245</v>
      </c>
      <c r="D5971" s="8" t="str">
        <f>"9789811071195"</f>
        <v>9789811071195</v>
      </c>
    </row>
    <row r="5972" spans="1:4" ht="30" x14ac:dyDescent="0.25">
      <c r="A5972" s="7" t="s">
        <v>8533</v>
      </c>
      <c r="B5972" s="8" t="s">
        <v>8534</v>
      </c>
      <c r="C5972" s="8" t="s">
        <v>993</v>
      </c>
      <c r="D5972" s="8" t="str">
        <f>"9783839452028"</f>
        <v>9783839452028</v>
      </c>
    </row>
    <row r="5973" spans="1:4" ht="30" x14ac:dyDescent="0.25">
      <c r="A5973" s="7" t="s">
        <v>1985</v>
      </c>
      <c r="B5973" s="8" t="s">
        <v>1986</v>
      </c>
      <c r="C5973" s="8" t="s">
        <v>1962</v>
      </c>
      <c r="D5973" s="8" t="str">
        <f>"9782759206971"</f>
        <v>9782759206971</v>
      </c>
    </row>
    <row r="5974" spans="1:4" ht="30" x14ac:dyDescent="0.25">
      <c r="A5974" s="7" t="s">
        <v>9244</v>
      </c>
      <c r="B5974" s="8" t="s">
        <v>9245</v>
      </c>
      <c r="C5974" s="8" t="s">
        <v>5086</v>
      </c>
      <c r="D5974" s="8" t="str">
        <f>"9783658367152"</f>
        <v>9783658367152</v>
      </c>
    </row>
    <row r="5975" spans="1:4" x14ac:dyDescent="0.25">
      <c r="A5975" s="7" t="s">
        <v>9262</v>
      </c>
      <c r="B5975" s="8" t="s">
        <v>9263</v>
      </c>
      <c r="C5975" s="8" t="s">
        <v>9256</v>
      </c>
      <c r="D5975" s="8" t="str">
        <f>"9788021079823"</f>
        <v>9788021079823</v>
      </c>
    </row>
    <row r="5976" spans="1:4" ht="30" x14ac:dyDescent="0.25">
      <c r="A5976" s="7" t="s">
        <v>891</v>
      </c>
      <c r="B5976" s="8" t="s">
        <v>892</v>
      </c>
      <c r="C5976" s="8" t="s">
        <v>316</v>
      </c>
      <c r="D5976" s="8" t="str">
        <f>"9783110370188"</f>
        <v>9783110370188</v>
      </c>
    </row>
    <row r="5977" spans="1:4" ht="30" x14ac:dyDescent="0.25">
      <c r="A5977" s="7" t="s">
        <v>8374</v>
      </c>
      <c r="B5977" s="8" t="s">
        <v>8375</v>
      </c>
      <c r="C5977" s="8" t="s">
        <v>993</v>
      </c>
      <c r="D5977" s="8" t="str">
        <f>"9783839453742"</f>
        <v>9783839453742</v>
      </c>
    </row>
    <row r="5978" spans="1:4" x14ac:dyDescent="0.25">
      <c r="A5978" s="7" t="s">
        <v>11844</v>
      </c>
      <c r="B5978" s="8" t="s">
        <v>11845</v>
      </c>
      <c r="C5978" s="8" t="s">
        <v>355</v>
      </c>
      <c r="D5978" s="8" t="str">
        <f>"9783110657807"</f>
        <v>9783110657807</v>
      </c>
    </row>
    <row r="5979" spans="1:4" ht="30" x14ac:dyDescent="0.25">
      <c r="A5979" s="7" t="s">
        <v>10093</v>
      </c>
      <c r="B5979" s="8" t="s">
        <v>10094</v>
      </c>
      <c r="C5979" s="8" t="s">
        <v>993</v>
      </c>
      <c r="D5979" s="8" t="str">
        <f>"9783839433102"</f>
        <v>9783839433102</v>
      </c>
    </row>
    <row r="5980" spans="1:4" x14ac:dyDescent="0.25">
      <c r="A5980" s="7" t="s">
        <v>2691</v>
      </c>
      <c r="B5980" s="8" t="s">
        <v>2692</v>
      </c>
      <c r="C5980" s="8" t="s">
        <v>993</v>
      </c>
      <c r="D5980" s="8" t="str">
        <f>"9783839424049"</f>
        <v>9783839424049</v>
      </c>
    </row>
    <row r="5981" spans="1:4" ht="30" x14ac:dyDescent="0.25">
      <c r="A5981" s="7" t="s">
        <v>10507</v>
      </c>
      <c r="B5981" s="8" t="s">
        <v>10508</v>
      </c>
      <c r="C5981" s="8" t="s">
        <v>993</v>
      </c>
      <c r="D5981" s="8" t="str">
        <f>"9783839458488"</f>
        <v>9783839458488</v>
      </c>
    </row>
    <row r="5982" spans="1:4" x14ac:dyDescent="0.25">
      <c r="A5982" s="7" t="s">
        <v>12052</v>
      </c>
      <c r="B5982" s="8" t="s">
        <v>12053</v>
      </c>
      <c r="C5982" s="8" t="s">
        <v>355</v>
      </c>
      <c r="D5982" s="8" t="str">
        <f>"9783110707816"</f>
        <v>9783110707816</v>
      </c>
    </row>
    <row r="5983" spans="1:4" x14ac:dyDescent="0.25">
      <c r="A5983" s="7" t="s">
        <v>11962</v>
      </c>
      <c r="B5983" s="8" t="s">
        <v>11963</v>
      </c>
      <c r="C5983" s="8" t="s">
        <v>316</v>
      </c>
      <c r="D5983" s="8" t="str">
        <f>"9783111698205"</f>
        <v>9783111698205</v>
      </c>
    </row>
    <row r="5984" spans="1:4" x14ac:dyDescent="0.25">
      <c r="A5984" s="7" t="s">
        <v>9549</v>
      </c>
      <c r="B5984" s="8" t="s">
        <v>9550</v>
      </c>
      <c r="C5984" s="8" t="s">
        <v>2273</v>
      </c>
      <c r="D5984" s="8" t="str">
        <f>"9783030926120"</f>
        <v>9783030926120</v>
      </c>
    </row>
    <row r="5985" spans="1:4" x14ac:dyDescent="0.25">
      <c r="A5985" s="7" t="s">
        <v>12630</v>
      </c>
      <c r="B5985" s="8" t="s">
        <v>12631</v>
      </c>
      <c r="C5985" s="8" t="s">
        <v>1865</v>
      </c>
      <c r="D5985" s="8" t="str">
        <f>"9789179293987"</f>
        <v>9789179293987</v>
      </c>
    </row>
    <row r="5986" spans="1:4" ht="30" x14ac:dyDescent="0.25">
      <c r="A5986" s="7" t="s">
        <v>4760</v>
      </c>
      <c r="B5986" s="8" t="s">
        <v>4761</v>
      </c>
      <c r="C5986" s="8" t="s">
        <v>1865</v>
      </c>
      <c r="D5986" s="8" t="str">
        <f>"9789179299569"</f>
        <v>9789179299569</v>
      </c>
    </row>
    <row r="5987" spans="1:4" x14ac:dyDescent="0.25">
      <c r="A5987" s="7" t="s">
        <v>6751</v>
      </c>
      <c r="B5987" s="8" t="s">
        <v>6752</v>
      </c>
      <c r="C5987" s="8" t="s">
        <v>1865</v>
      </c>
      <c r="D5987" s="8" t="str">
        <f>"9789179296599"</f>
        <v>9789179296599</v>
      </c>
    </row>
    <row r="5988" spans="1:4" x14ac:dyDescent="0.25">
      <c r="A5988" s="7" t="s">
        <v>15727</v>
      </c>
      <c r="B5988" s="8" t="s">
        <v>15728</v>
      </c>
      <c r="C5988" s="8" t="s">
        <v>1865</v>
      </c>
      <c r="D5988" s="8" t="str">
        <f>"9789175193465"</f>
        <v>9789175193465</v>
      </c>
    </row>
    <row r="5989" spans="1:4" x14ac:dyDescent="0.25">
      <c r="A5989" s="7" t="s">
        <v>15537</v>
      </c>
      <c r="B5989" s="8" t="s">
        <v>15538</v>
      </c>
      <c r="C5989" s="8" t="s">
        <v>1865</v>
      </c>
      <c r="D5989" s="8" t="str">
        <f>"9789175199689"</f>
        <v>9789175199689</v>
      </c>
    </row>
    <row r="5990" spans="1:4" ht="30" x14ac:dyDescent="0.25">
      <c r="A5990" s="7" t="s">
        <v>11520</v>
      </c>
      <c r="B5990" s="8" t="s">
        <v>11521</v>
      </c>
      <c r="C5990" s="8" t="s">
        <v>355</v>
      </c>
      <c r="D5990" s="8" t="str">
        <f>"9783111717784"</f>
        <v>9783111717784</v>
      </c>
    </row>
    <row r="5991" spans="1:4" ht="30" x14ac:dyDescent="0.25">
      <c r="A5991" s="7" t="s">
        <v>9439</v>
      </c>
      <c r="B5991" s="8" t="s">
        <v>9440</v>
      </c>
      <c r="C5991" s="8" t="s">
        <v>9256</v>
      </c>
      <c r="D5991" s="8" t="str">
        <f>"9788021099111"</f>
        <v>9788021099111</v>
      </c>
    </row>
    <row r="5992" spans="1:4" ht="30" x14ac:dyDescent="0.25">
      <c r="A5992" s="7" t="s">
        <v>2221</v>
      </c>
      <c r="B5992" s="8" t="s">
        <v>2222</v>
      </c>
      <c r="C5992" s="8" t="s">
        <v>316</v>
      </c>
      <c r="D5992" s="8" t="str">
        <f>"9783110311211"</f>
        <v>9783110311211</v>
      </c>
    </row>
    <row r="5993" spans="1:4" ht="45" x14ac:dyDescent="0.25">
      <c r="A5993" s="7" t="s">
        <v>13295</v>
      </c>
      <c r="B5993" s="8" t="s">
        <v>13125</v>
      </c>
      <c r="C5993" s="8" t="s">
        <v>12712</v>
      </c>
      <c r="D5993" s="8" t="str">
        <f>"9783428574568"</f>
        <v>9783428574568</v>
      </c>
    </row>
    <row r="5994" spans="1:4" ht="30" x14ac:dyDescent="0.25">
      <c r="A5994" s="7" t="s">
        <v>13275</v>
      </c>
      <c r="B5994" s="8" t="s">
        <v>13276</v>
      </c>
      <c r="C5994" s="8" t="s">
        <v>12712</v>
      </c>
      <c r="D5994" s="8" t="str">
        <f>"9783428574391"</f>
        <v>9783428574391</v>
      </c>
    </row>
    <row r="5995" spans="1:4" ht="30" x14ac:dyDescent="0.25">
      <c r="A5995" s="7" t="s">
        <v>13279</v>
      </c>
      <c r="B5995" s="8" t="s">
        <v>13276</v>
      </c>
      <c r="C5995" s="8" t="s">
        <v>12712</v>
      </c>
      <c r="D5995" s="8" t="str">
        <f>"9783428574421"</f>
        <v>9783428574421</v>
      </c>
    </row>
    <row r="5996" spans="1:4" ht="45" x14ac:dyDescent="0.25">
      <c r="A5996" s="7" t="s">
        <v>13282</v>
      </c>
      <c r="B5996" s="8" t="s">
        <v>13283</v>
      </c>
      <c r="C5996" s="8" t="s">
        <v>12712</v>
      </c>
      <c r="D5996" s="8" t="str">
        <f>"9783428574452"</f>
        <v>9783428574452</v>
      </c>
    </row>
    <row r="5997" spans="1:4" ht="30" x14ac:dyDescent="0.25">
      <c r="A5997" s="7" t="s">
        <v>14838</v>
      </c>
      <c r="B5997" s="8" t="s">
        <v>14839</v>
      </c>
      <c r="C5997" s="8" t="s">
        <v>1865</v>
      </c>
      <c r="D5997" s="8" t="str">
        <f>"9789179295547"</f>
        <v>9789179295547</v>
      </c>
    </row>
    <row r="5998" spans="1:4" x14ac:dyDescent="0.25">
      <c r="A5998" s="7" t="s">
        <v>8045</v>
      </c>
      <c r="B5998" s="8" t="s">
        <v>8046</v>
      </c>
      <c r="C5998" s="8" t="s">
        <v>2273</v>
      </c>
      <c r="D5998" s="8" t="str">
        <f>"9783030778385"</f>
        <v>9783030778385</v>
      </c>
    </row>
    <row r="5999" spans="1:4" ht="30" x14ac:dyDescent="0.25">
      <c r="A5999" s="7" t="s">
        <v>6188</v>
      </c>
      <c r="B5999" s="8" t="s">
        <v>86</v>
      </c>
      <c r="C5999" s="8" t="s">
        <v>2273</v>
      </c>
      <c r="D5999" s="8" t="str">
        <f>"9783319142227"</f>
        <v>9783319142227</v>
      </c>
    </row>
    <row r="6000" spans="1:4" x14ac:dyDescent="0.25">
      <c r="A6000" s="7" t="s">
        <v>15989</v>
      </c>
      <c r="B6000" s="8" t="s">
        <v>15990</v>
      </c>
      <c r="C6000" s="8" t="s">
        <v>1865</v>
      </c>
      <c r="D6000" s="8" t="str">
        <f>"9789176857229"</f>
        <v>9789176857229</v>
      </c>
    </row>
    <row r="6001" spans="1:4" x14ac:dyDescent="0.25">
      <c r="A6001" s="7" t="s">
        <v>913</v>
      </c>
      <c r="B6001" s="8" t="s">
        <v>914</v>
      </c>
      <c r="C6001" s="8" t="s">
        <v>329</v>
      </c>
      <c r="D6001" s="8" t="str">
        <f>"9789048513833"</f>
        <v>9789048513833</v>
      </c>
    </row>
    <row r="6002" spans="1:4" ht="45" x14ac:dyDescent="0.25">
      <c r="A6002" s="7" t="s">
        <v>1173</v>
      </c>
      <c r="B6002" s="8" t="s">
        <v>1116</v>
      </c>
      <c r="C6002" s="8" t="s">
        <v>316</v>
      </c>
      <c r="D6002" s="8" t="str">
        <f>"9783110875119"</f>
        <v>9783110875119</v>
      </c>
    </row>
    <row r="6003" spans="1:4" x14ac:dyDescent="0.25">
      <c r="A6003" s="7" t="s">
        <v>16076</v>
      </c>
      <c r="B6003" s="8" t="s">
        <v>15462</v>
      </c>
      <c r="C6003" s="8" t="s">
        <v>1865</v>
      </c>
      <c r="D6003" s="8" t="str">
        <f>"9789175194769"</f>
        <v>9789175194769</v>
      </c>
    </row>
    <row r="6004" spans="1:4" ht="30" x14ac:dyDescent="0.25">
      <c r="A6004" s="7" t="s">
        <v>3972</v>
      </c>
      <c r="B6004" s="8" t="s">
        <v>3973</v>
      </c>
      <c r="C6004" s="8" t="s">
        <v>1865</v>
      </c>
      <c r="D6004" s="8" t="str">
        <f>"9789176852767"</f>
        <v>9789176852767</v>
      </c>
    </row>
    <row r="6005" spans="1:4" ht="45" x14ac:dyDescent="0.25">
      <c r="A6005" s="7" t="s">
        <v>13206</v>
      </c>
      <c r="B6005" s="8" t="s">
        <v>13207</v>
      </c>
      <c r="C6005" s="8" t="s">
        <v>12712</v>
      </c>
      <c r="D6005" s="8" t="str">
        <f>"9783428573684"</f>
        <v>9783428573684</v>
      </c>
    </row>
    <row r="6006" spans="1:4" x14ac:dyDescent="0.25">
      <c r="A6006" s="7" t="s">
        <v>15913</v>
      </c>
      <c r="B6006" s="8" t="s">
        <v>15914</v>
      </c>
      <c r="C6006" s="8" t="s">
        <v>1865</v>
      </c>
      <c r="D6006" s="8" t="str">
        <f>"9789175196619"</f>
        <v>9789175196619</v>
      </c>
    </row>
    <row r="6007" spans="1:4" ht="30" x14ac:dyDescent="0.25">
      <c r="A6007" s="7" t="s">
        <v>9050</v>
      </c>
      <c r="B6007" s="8" t="s">
        <v>6220</v>
      </c>
      <c r="C6007" s="8" t="s">
        <v>2273</v>
      </c>
      <c r="D6007" s="8" t="str">
        <f>"9783030860769"</f>
        <v>9783030860769</v>
      </c>
    </row>
    <row r="6008" spans="1:4" x14ac:dyDescent="0.25">
      <c r="A6008" s="7" t="s">
        <v>15200</v>
      </c>
      <c r="B6008" s="8" t="s">
        <v>15201</v>
      </c>
      <c r="C6008" s="8" t="s">
        <v>1865</v>
      </c>
      <c r="D6008" s="8" t="str">
        <f>"9789175190877"</f>
        <v>9789175190877</v>
      </c>
    </row>
    <row r="6009" spans="1:4" x14ac:dyDescent="0.25">
      <c r="A6009" s="7" t="s">
        <v>9285</v>
      </c>
      <c r="B6009" s="8" t="s">
        <v>9286</v>
      </c>
      <c r="C6009" s="8" t="s">
        <v>9256</v>
      </c>
      <c r="D6009" s="8" t="str">
        <f>"9788021092754"</f>
        <v>9788021092754</v>
      </c>
    </row>
    <row r="6010" spans="1:4" ht="30" x14ac:dyDescent="0.25">
      <c r="A6010" s="7" t="s">
        <v>7907</v>
      </c>
      <c r="B6010" s="8" t="s">
        <v>5495</v>
      </c>
      <c r="C6010" s="8" t="s">
        <v>2273</v>
      </c>
      <c r="D6010" s="8" t="str">
        <f>"9783030815004"</f>
        <v>9783030815004</v>
      </c>
    </row>
    <row r="6011" spans="1:4" x14ac:dyDescent="0.25">
      <c r="A6011" s="7" t="s">
        <v>7084</v>
      </c>
      <c r="B6011" s="8" t="s">
        <v>7085</v>
      </c>
      <c r="C6011" s="8" t="s">
        <v>355</v>
      </c>
      <c r="D6011" s="8" t="str">
        <f>"9783110674088"</f>
        <v>9783110674088</v>
      </c>
    </row>
    <row r="6012" spans="1:4" x14ac:dyDescent="0.25">
      <c r="A6012" s="7" t="s">
        <v>12588</v>
      </c>
      <c r="B6012" s="8" t="s">
        <v>12589</v>
      </c>
      <c r="C6012" s="8" t="s">
        <v>355</v>
      </c>
      <c r="D6012" s="8" t="str">
        <f>"9783110695090"</f>
        <v>9783110695090</v>
      </c>
    </row>
    <row r="6013" spans="1:4" x14ac:dyDescent="0.25">
      <c r="A6013" s="7" t="s">
        <v>8607</v>
      </c>
      <c r="B6013" s="8" t="s">
        <v>8608</v>
      </c>
      <c r="C6013" s="8" t="s">
        <v>2273</v>
      </c>
      <c r="D6013" s="8" t="str">
        <f>"9783030839253"</f>
        <v>9783030839253</v>
      </c>
    </row>
    <row r="6014" spans="1:4" x14ac:dyDescent="0.25">
      <c r="A6014" s="7" t="s">
        <v>11606</v>
      </c>
      <c r="B6014" s="8" t="s">
        <v>103</v>
      </c>
      <c r="C6014" s="8" t="s">
        <v>355</v>
      </c>
      <c r="D6014" s="8" t="str">
        <f>"9783110732139"</f>
        <v>9783110732139</v>
      </c>
    </row>
    <row r="6015" spans="1:4" x14ac:dyDescent="0.25">
      <c r="A6015" s="7" t="s">
        <v>11051</v>
      </c>
      <c r="B6015" s="8" t="s">
        <v>11052</v>
      </c>
      <c r="C6015" s="8" t="s">
        <v>2082</v>
      </c>
      <c r="D6015" s="8" t="str">
        <f>"9780472900749"</f>
        <v>9780472900749</v>
      </c>
    </row>
    <row r="6016" spans="1:4" ht="45" x14ac:dyDescent="0.25">
      <c r="A6016" s="7" t="s">
        <v>1117</v>
      </c>
      <c r="B6016" s="8" t="s">
        <v>1118</v>
      </c>
      <c r="C6016" s="8" t="s">
        <v>316</v>
      </c>
      <c r="D6016" s="8" t="str">
        <f>"9783110906653"</f>
        <v>9783110906653</v>
      </c>
    </row>
    <row r="6017" spans="1:4" x14ac:dyDescent="0.25">
      <c r="A6017" s="7" t="s">
        <v>14804</v>
      </c>
      <c r="B6017" s="8" t="s">
        <v>14805</v>
      </c>
      <c r="C6017" s="8" t="s">
        <v>1865</v>
      </c>
      <c r="D6017" s="8" t="str">
        <f>"9789175197562"</f>
        <v>9789175197562</v>
      </c>
    </row>
    <row r="6018" spans="1:4" x14ac:dyDescent="0.25">
      <c r="A6018" s="7" t="s">
        <v>8189</v>
      </c>
      <c r="B6018" s="8" t="s">
        <v>8190</v>
      </c>
      <c r="C6018" s="8" t="s">
        <v>993</v>
      </c>
      <c r="D6018" s="8" t="str">
        <f>"9783839456057"</f>
        <v>9783839456057</v>
      </c>
    </row>
    <row r="6019" spans="1:4" ht="45" x14ac:dyDescent="0.25">
      <c r="A6019" s="7" t="s">
        <v>13386</v>
      </c>
      <c r="B6019" s="8" t="s">
        <v>13387</v>
      </c>
      <c r="C6019" s="8" t="s">
        <v>12712</v>
      </c>
      <c r="D6019" s="8" t="str">
        <f>"9783428585229"</f>
        <v>9783428585229</v>
      </c>
    </row>
    <row r="6020" spans="1:4" ht="30" x14ac:dyDescent="0.25">
      <c r="A6020" s="7" t="s">
        <v>10159</v>
      </c>
      <c r="B6020" s="8" t="s">
        <v>10160</v>
      </c>
      <c r="C6020" s="8" t="s">
        <v>993</v>
      </c>
      <c r="D6020" s="8" t="str">
        <f>"9783839441893"</f>
        <v>9783839441893</v>
      </c>
    </row>
    <row r="6021" spans="1:4" x14ac:dyDescent="0.25">
      <c r="A6021" s="7" t="s">
        <v>1918</v>
      </c>
      <c r="B6021" s="8" t="s">
        <v>1919</v>
      </c>
      <c r="C6021" s="8" t="s">
        <v>1879</v>
      </c>
      <c r="D6021" s="8" t="str">
        <f>"9781906924201"</f>
        <v>9781906924201</v>
      </c>
    </row>
    <row r="6022" spans="1:4" x14ac:dyDescent="0.25">
      <c r="A6022" s="7" t="s">
        <v>5944</v>
      </c>
      <c r="B6022" s="8" t="s">
        <v>5945</v>
      </c>
      <c r="C6022" s="8" t="s">
        <v>5484</v>
      </c>
      <c r="D6022" s="8" t="str">
        <f>"9781484200766"</f>
        <v>9781484200766</v>
      </c>
    </row>
    <row r="6023" spans="1:4" x14ac:dyDescent="0.25">
      <c r="A6023" s="7" t="s">
        <v>14622</v>
      </c>
      <c r="B6023" s="8" t="s">
        <v>14623</v>
      </c>
      <c r="C6023" s="8" t="s">
        <v>1865</v>
      </c>
      <c r="D6023" s="8" t="str">
        <f>"9789179293895"</f>
        <v>9789179293895</v>
      </c>
    </row>
    <row r="6024" spans="1:4" x14ac:dyDescent="0.25">
      <c r="A6024" s="7" t="s">
        <v>15849</v>
      </c>
      <c r="B6024" s="8" t="s">
        <v>2950</v>
      </c>
      <c r="C6024" s="8" t="s">
        <v>1865</v>
      </c>
      <c r="D6024" s="8" t="str">
        <f>"9789175193410"</f>
        <v>9789175193410</v>
      </c>
    </row>
    <row r="6025" spans="1:4" x14ac:dyDescent="0.25">
      <c r="A6025" s="7" t="s">
        <v>2949</v>
      </c>
      <c r="B6025" s="8" t="s">
        <v>2950</v>
      </c>
      <c r="C6025" s="8" t="s">
        <v>1865</v>
      </c>
      <c r="D6025" s="8" t="str">
        <f>"9789176856215"</f>
        <v>9789176856215</v>
      </c>
    </row>
    <row r="6026" spans="1:4" ht="30" x14ac:dyDescent="0.25">
      <c r="A6026" s="7" t="s">
        <v>3224</v>
      </c>
      <c r="B6026" s="8" t="s">
        <v>3225</v>
      </c>
      <c r="C6026" s="8" t="s">
        <v>1345</v>
      </c>
      <c r="D6026" s="8" t="str">
        <f>"9783737602914"</f>
        <v>9783737602914</v>
      </c>
    </row>
    <row r="6027" spans="1:4" x14ac:dyDescent="0.25">
      <c r="A6027" s="7" t="s">
        <v>4026</v>
      </c>
      <c r="B6027" s="8" t="s">
        <v>3880</v>
      </c>
      <c r="C6027" s="8" t="s">
        <v>355</v>
      </c>
      <c r="D6027" s="8" t="str">
        <f>"9783110562545"</f>
        <v>9783110562545</v>
      </c>
    </row>
    <row r="6028" spans="1:4" x14ac:dyDescent="0.25">
      <c r="A6028" s="7" t="s">
        <v>7296</v>
      </c>
      <c r="B6028" s="8" t="s">
        <v>7297</v>
      </c>
      <c r="C6028" s="8" t="s">
        <v>2273</v>
      </c>
      <c r="D6028" s="8" t="str">
        <f>"9783030499952"</f>
        <v>9783030499952</v>
      </c>
    </row>
    <row r="6029" spans="1:4" x14ac:dyDescent="0.25">
      <c r="A6029" s="7" t="s">
        <v>12703</v>
      </c>
      <c r="B6029" s="8" t="s">
        <v>12704</v>
      </c>
      <c r="C6029" s="8" t="s">
        <v>1865</v>
      </c>
      <c r="D6029" s="8" t="str">
        <f>"9789179293840"</f>
        <v>9789179293840</v>
      </c>
    </row>
    <row r="6030" spans="1:4" x14ac:dyDescent="0.25">
      <c r="A6030" s="7" t="s">
        <v>6174</v>
      </c>
      <c r="B6030" s="8" t="s">
        <v>6175</v>
      </c>
      <c r="C6030" s="8" t="s">
        <v>2273</v>
      </c>
      <c r="D6030" s="8" t="str">
        <f>"9783319407302"</f>
        <v>9783319407302</v>
      </c>
    </row>
    <row r="6031" spans="1:4" x14ac:dyDescent="0.25">
      <c r="A6031" s="7" t="s">
        <v>12962</v>
      </c>
      <c r="B6031" s="8" t="s">
        <v>12963</v>
      </c>
      <c r="C6031" s="8" t="s">
        <v>12712</v>
      </c>
      <c r="D6031" s="8" t="str">
        <f>"9783428458400"</f>
        <v>9783428458400</v>
      </c>
    </row>
    <row r="6032" spans="1:4" ht="45" x14ac:dyDescent="0.25">
      <c r="A6032" s="7" t="s">
        <v>13334</v>
      </c>
      <c r="B6032" s="8" t="s">
        <v>13335</v>
      </c>
      <c r="C6032" s="8" t="s">
        <v>12712</v>
      </c>
      <c r="D6032" s="8" t="str">
        <f>"9783428574957"</f>
        <v>9783428574957</v>
      </c>
    </row>
    <row r="6033" spans="1:4" x14ac:dyDescent="0.25">
      <c r="A6033" s="7" t="s">
        <v>13013</v>
      </c>
      <c r="B6033" s="8" t="s">
        <v>13014</v>
      </c>
      <c r="C6033" s="8" t="s">
        <v>12712</v>
      </c>
      <c r="D6033" s="8" t="str">
        <f>"9783428466986"</f>
        <v>9783428466986</v>
      </c>
    </row>
    <row r="6034" spans="1:4" x14ac:dyDescent="0.25">
      <c r="A6034" s="7" t="s">
        <v>12739</v>
      </c>
      <c r="B6034" s="8" t="s">
        <v>12725</v>
      </c>
      <c r="C6034" s="8" t="s">
        <v>12712</v>
      </c>
      <c r="D6034" s="8" t="str">
        <f>"9783428410095"</f>
        <v>9783428410095</v>
      </c>
    </row>
    <row r="6035" spans="1:4" x14ac:dyDescent="0.25">
      <c r="A6035" s="7" t="s">
        <v>12780</v>
      </c>
      <c r="B6035" s="8" t="s">
        <v>12781</v>
      </c>
      <c r="C6035" s="8" t="s">
        <v>12712</v>
      </c>
      <c r="D6035" s="8" t="str">
        <f>"9783428421121"</f>
        <v>9783428421121</v>
      </c>
    </row>
    <row r="6036" spans="1:4" ht="30" x14ac:dyDescent="0.25">
      <c r="A6036" s="7" t="s">
        <v>13006</v>
      </c>
      <c r="B6036" s="8" t="s">
        <v>13007</v>
      </c>
      <c r="C6036" s="8" t="s">
        <v>12712</v>
      </c>
      <c r="D6036" s="8" t="str">
        <f>"9783428465453"</f>
        <v>9783428465453</v>
      </c>
    </row>
    <row r="6037" spans="1:4" x14ac:dyDescent="0.25">
      <c r="A6037" s="7" t="s">
        <v>12995</v>
      </c>
      <c r="B6037" s="8" t="s">
        <v>12996</v>
      </c>
      <c r="C6037" s="8" t="s">
        <v>12712</v>
      </c>
      <c r="D6037" s="8" t="str">
        <f>"9783428464258"</f>
        <v>9783428464258</v>
      </c>
    </row>
    <row r="6038" spans="1:4" x14ac:dyDescent="0.25">
      <c r="A6038" s="7" t="s">
        <v>12854</v>
      </c>
      <c r="B6038" s="8" t="s">
        <v>12855</v>
      </c>
      <c r="C6038" s="8" t="s">
        <v>12712</v>
      </c>
      <c r="D6038" s="8" t="str">
        <f>"9783428436682"</f>
        <v>9783428436682</v>
      </c>
    </row>
    <row r="6039" spans="1:4" x14ac:dyDescent="0.25">
      <c r="A6039" s="7" t="s">
        <v>12801</v>
      </c>
      <c r="B6039" s="8" t="s">
        <v>12781</v>
      </c>
      <c r="C6039" s="8" t="s">
        <v>12712</v>
      </c>
      <c r="D6039" s="8" t="str">
        <f>"9783428425211"</f>
        <v>9783428425211</v>
      </c>
    </row>
    <row r="6040" spans="1:4" ht="30" x14ac:dyDescent="0.25">
      <c r="A6040" s="7" t="s">
        <v>12830</v>
      </c>
      <c r="B6040" s="8" t="s">
        <v>12831</v>
      </c>
      <c r="C6040" s="8" t="s">
        <v>12712</v>
      </c>
      <c r="D6040" s="8" t="str">
        <f>"9783428432097"</f>
        <v>9783428432097</v>
      </c>
    </row>
    <row r="6041" spans="1:4" x14ac:dyDescent="0.25">
      <c r="A6041" s="7" t="s">
        <v>12747</v>
      </c>
      <c r="B6041" s="8" t="s">
        <v>12733</v>
      </c>
      <c r="C6041" s="8" t="s">
        <v>12712</v>
      </c>
      <c r="D6041" s="8" t="str">
        <f>"9783428411962"</f>
        <v>9783428411962</v>
      </c>
    </row>
    <row r="6042" spans="1:4" ht="30" x14ac:dyDescent="0.25">
      <c r="A6042" s="7" t="s">
        <v>12748</v>
      </c>
      <c r="B6042" s="8" t="s">
        <v>12749</v>
      </c>
      <c r="C6042" s="8" t="s">
        <v>12712</v>
      </c>
      <c r="D6042" s="8" t="str">
        <f>"9783428411986"</f>
        <v>9783428411986</v>
      </c>
    </row>
    <row r="6043" spans="1:4" x14ac:dyDescent="0.25">
      <c r="A6043" s="7" t="s">
        <v>12877</v>
      </c>
      <c r="B6043" s="8" t="s">
        <v>12838</v>
      </c>
      <c r="C6043" s="8" t="s">
        <v>12712</v>
      </c>
      <c r="D6043" s="8" t="str">
        <f>"9783428441662"</f>
        <v>9783428441662</v>
      </c>
    </row>
    <row r="6044" spans="1:4" x14ac:dyDescent="0.25">
      <c r="A6044" s="7" t="s">
        <v>12899</v>
      </c>
      <c r="B6044" s="8" t="s">
        <v>12900</v>
      </c>
      <c r="C6044" s="8" t="s">
        <v>12712</v>
      </c>
      <c r="D6044" s="8" t="str">
        <f>"9783428445820"</f>
        <v>9783428445820</v>
      </c>
    </row>
    <row r="6045" spans="1:4" x14ac:dyDescent="0.25">
      <c r="A6045" s="7" t="s">
        <v>12742</v>
      </c>
      <c r="B6045" s="8" t="s">
        <v>12743</v>
      </c>
      <c r="C6045" s="8" t="s">
        <v>12712</v>
      </c>
      <c r="D6045" s="8" t="str">
        <f>"9783428411894"</f>
        <v>9783428411894</v>
      </c>
    </row>
    <row r="6046" spans="1:4" ht="45" x14ac:dyDescent="0.25">
      <c r="A6046" s="7" t="s">
        <v>12745</v>
      </c>
      <c r="B6046" s="8" t="s">
        <v>12746</v>
      </c>
      <c r="C6046" s="8" t="s">
        <v>12712</v>
      </c>
      <c r="D6046" s="8" t="str">
        <f>"9783428411917"</f>
        <v>9783428411917</v>
      </c>
    </row>
    <row r="6047" spans="1:4" ht="30" x14ac:dyDescent="0.25">
      <c r="A6047" s="7" t="s">
        <v>12970</v>
      </c>
      <c r="B6047" s="8" t="s">
        <v>12831</v>
      </c>
      <c r="C6047" s="8" t="s">
        <v>12712</v>
      </c>
      <c r="D6047" s="8" t="str">
        <f>"9783428459322"</f>
        <v>9783428459322</v>
      </c>
    </row>
    <row r="6048" spans="1:4" x14ac:dyDescent="0.25">
      <c r="A6048" s="7" t="s">
        <v>9294</v>
      </c>
      <c r="B6048" s="8" t="s">
        <v>9295</v>
      </c>
      <c r="C6048" s="8" t="s">
        <v>9256</v>
      </c>
      <c r="D6048" s="8" t="str">
        <f>"9788021093782"</f>
        <v>9788021093782</v>
      </c>
    </row>
    <row r="6049" spans="1:4" x14ac:dyDescent="0.25">
      <c r="A6049" s="7" t="s">
        <v>4491</v>
      </c>
      <c r="B6049" s="8" t="s">
        <v>4492</v>
      </c>
      <c r="C6049" s="8" t="s">
        <v>1865</v>
      </c>
      <c r="D6049" s="8" t="str">
        <f>"9789176851104"</f>
        <v>9789176851104</v>
      </c>
    </row>
    <row r="6050" spans="1:4" ht="30" x14ac:dyDescent="0.25">
      <c r="A6050" s="7" t="s">
        <v>12437</v>
      </c>
      <c r="B6050" s="8" t="s">
        <v>12438</v>
      </c>
      <c r="C6050" s="8" t="s">
        <v>2274</v>
      </c>
      <c r="D6050" s="8" t="str">
        <f>"9789811924569"</f>
        <v>9789811924569</v>
      </c>
    </row>
    <row r="6051" spans="1:4" ht="45" x14ac:dyDescent="0.25">
      <c r="A6051" s="7" t="s">
        <v>1390</v>
      </c>
      <c r="B6051" s="8" t="s">
        <v>1391</v>
      </c>
      <c r="C6051" s="8" t="s">
        <v>1345</v>
      </c>
      <c r="D6051" s="8" t="str">
        <f>""</f>
        <v/>
      </c>
    </row>
    <row r="6052" spans="1:4" ht="45" x14ac:dyDescent="0.25">
      <c r="A6052" s="7" t="s">
        <v>1394</v>
      </c>
      <c r="B6052" s="8" t="s">
        <v>1391</v>
      </c>
      <c r="C6052" s="8" t="s">
        <v>1345</v>
      </c>
      <c r="D6052" s="8" t="str">
        <f>""</f>
        <v/>
      </c>
    </row>
    <row r="6053" spans="1:4" ht="30" x14ac:dyDescent="0.25">
      <c r="A6053" s="7" t="s">
        <v>3936</v>
      </c>
      <c r="B6053" s="8" t="s">
        <v>3937</v>
      </c>
      <c r="C6053" s="8" t="s">
        <v>355</v>
      </c>
      <c r="D6053" s="8" t="str">
        <f>"9783110559040"</f>
        <v>9783110559040</v>
      </c>
    </row>
    <row r="6054" spans="1:4" x14ac:dyDescent="0.25">
      <c r="A6054" s="7" t="s">
        <v>14271</v>
      </c>
      <c r="B6054" s="8" t="s">
        <v>14272</v>
      </c>
      <c r="C6054" s="8" t="s">
        <v>2274</v>
      </c>
      <c r="D6054" s="8" t="str">
        <f>"9789811961380"</f>
        <v>9789811961380</v>
      </c>
    </row>
    <row r="6055" spans="1:4" ht="30" x14ac:dyDescent="0.25">
      <c r="A6055" s="7" t="s">
        <v>14170</v>
      </c>
      <c r="B6055" s="8" t="s">
        <v>14171</v>
      </c>
      <c r="C6055" s="8" t="s">
        <v>13502</v>
      </c>
      <c r="D6055" s="8" t="str">
        <f>"9782494069992"</f>
        <v>9782494069992</v>
      </c>
    </row>
    <row r="6056" spans="1:4" x14ac:dyDescent="0.25">
      <c r="A6056" s="7" t="s">
        <v>9279</v>
      </c>
      <c r="B6056" s="8" t="s">
        <v>9280</v>
      </c>
      <c r="C6056" s="8" t="s">
        <v>9256</v>
      </c>
      <c r="D6056" s="8" t="str">
        <f>"9788021089174"</f>
        <v>9788021089174</v>
      </c>
    </row>
    <row r="6057" spans="1:4" ht="30" x14ac:dyDescent="0.25">
      <c r="A6057" s="7" t="s">
        <v>9362</v>
      </c>
      <c r="B6057" s="8" t="s">
        <v>9363</v>
      </c>
      <c r="C6057" s="8" t="s">
        <v>9256</v>
      </c>
      <c r="D6057" s="8" t="str">
        <f>"9788021096318"</f>
        <v>9788021096318</v>
      </c>
    </row>
    <row r="6058" spans="1:4" ht="30" x14ac:dyDescent="0.25">
      <c r="A6058" s="7" t="s">
        <v>13783</v>
      </c>
      <c r="B6058" s="8" t="s">
        <v>13784</v>
      </c>
      <c r="C6058" s="8" t="s">
        <v>13502</v>
      </c>
      <c r="D6058" s="8" t="str">
        <f>"9789464630602"</f>
        <v>9789464630602</v>
      </c>
    </row>
    <row r="6059" spans="1:4" x14ac:dyDescent="0.25">
      <c r="A6059" s="7" t="s">
        <v>5759</v>
      </c>
      <c r="B6059" s="8" t="s">
        <v>4190</v>
      </c>
      <c r="C6059" s="8" t="s">
        <v>2273</v>
      </c>
      <c r="D6059" s="8" t="str">
        <f>"9783319625973"</f>
        <v>9783319625973</v>
      </c>
    </row>
    <row r="6060" spans="1:4" x14ac:dyDescent="0.25">
      <c r="A6060" s="7" t="s">
        <v>13811</v>
      </c>
      <c r="B6060" s="8" t="s">
        <v>13812</v>
      </c>
      <c r="C6060" s="8" t="s">
        <v>13502</v>
      </c>
      <c r="D6060" s="8" t="str">
        <f>"9789464630084"</f>
        <v>9789464630084</v>
      </c>
    </row>
    <row r="6061" spans="1:4" x14ac:dyDescent="0.25">
      <c r="A6061" s="7" t="s">
        <v>14307</v>
      </c>
      <c r="B6061" s="8" t="s">
        <v>14308</v>
      </c>
      <c r="C6061" s="8" t="s">
        <v>13502</v>
      </c>
      <c r="D6061" s="8" t="str">
        <f>"9789464631128"</f>
        <v>9789464631128</v>
      </c>
    </row>
    <row r="6062" spans="1:4" ht="30" x14ac:dyDescent="0.25">
      <c r="A6062" s="7" t="s">
        <v>13883</v>
      </c>
      <c r="B6062" s="8" t="s">
        <v>13884</v>
      </c>
      <c r="C6062" s="8" t="s">
        <v>13502</v>
      </c>
      <c r="D6062" s="8" t="str">
        <f>"9782494069534"</f>
        <v>9782494069534</v>
      </c>
    </row>
    <row r="6063" spans="1:4" ht="30" x14ac:dyDescent="0.25">
      <c r="A6063" s="7" t="s">
        <v>14152</v>
      </c>
      <c r="B6063" s="8" t="s">
        <v>14153</v>
      </c>
      <c r="C6063" s="8" t="s">
        <v>13502</v>
      </c>
      <c r="D6063" s="8" t="str">
        <f>"9789464631104"</f>
        <v>9789464631104</v>
      </c>
    </row>
    <row r="6064" spans="1:4" ht="30" x14ac:dyDescent="0.25">
      <c r="A6064" s="7" t="s">
        <v>13834</v>
      </c>
      <c r="B6064" s="8" t="s">
        <v>13835</v>
      </c>
      <c r="C6064" s="8" t="s">
        <v>13502</v>
      </c>
      <c r="D6064" s="8" t="str">
        <f>"9782494069817"</f>
        <v>9782494069817</v>
      </c>
    </row>
    <row r="6065" spans="1:4" ht="30" x14ac:dyDescent="0.25">
      <c r="A6065" s="7" t="s">
        <v>13769</v>
      </c>
      <c r="B6065" s="8" t="s">
        <v>13770</v>
      </c>
      <c r="C6065" s="8" t="s">
        <v>13502</v>
      </c>
      <c r="D6065" s="8" t="str">
        <f>"9782494069398"</f>
        <v>9782494069398</v>
      </c>
    </row>
    <row r="6066" spans="1:4" ht="30" x14ac:dyDescent="0.25">
      <c r="A6066" s="7" t="s">
        <v>6459</v>
      </c>
      <c r="B6066" s="8" t="s">
        <v>6460</v>
      </c>
      <c r="C6066" s="8" t="s">
        <v>4245</v>
      </c>
      <c r="D6066" s="8" t="str">
        <f>"9789813344006"</f>
        <v>9789813344006</v>
      </c>
    </row>
    <row r="6067" spans="1:4" ht="30" x14ac:dyDescent="0.25">
      <c r="A6067" s="7" t="s">
        <v>7924</v>
      </c>
      <c r="B6067" s="8" t="s">
        <v>6460</v>
      </c>
      <c r="C6067" s="8" t="s">
        <v>4245</v>
      </c>
      <c r="D6067" s="8" t="str">
        <f>"9789811659836"</f>
        <v>9789811659836</v>
      </c>
    </row>
    <row r="6068" spans="1:4" ht="30" x14ac:dyDescent="0.25">
      <c r="A6068" s="7" t="s">
        <v>13924</v>
      </c>
      <c r="B6068" s="8" t="s">
        <v>13925</v>
      </c>
      <c r="C6068" s="8" t="s">
        <v>13502</v>
      </c>
      <c r="D6068" s="8" t="str">
        <f>"9789464631029"</f>
        <v>9789464631029</v>
      </c>
    </row>
    <row r="6069" spans="1:4" ht="30" x14ac:dyDescent="0.25">
      <c r="A6069" s="7" t="s">
        <v>13799</v>
      </c>
      <c r="B6069" s="8" t="s">
        <v>13800</v>
      </c>
      <c r="C6069" s="8" t="s">
        <v>13502</v>
      </c>
      <c r="D6069" s="8" t="str">
        <f>"9789464630466"</f>
        <v>9789464630466</v>
      </c>
    </row>
    <row r="6070" spans="1:4" ht="30" x14ac:dyDescent="0.25">
      <c r="A6070" s="7" t="s">
        <v>14072</v>
      </c>
      <c r="B6070" s="8" t="s">
        <v>14073</v>
      </c>
      <c r="C6070" s="8" t="s">
        <v>13502</v>
      </c>
      <c r="D6070" s="8" t="str">
        <f>"9789464630367"</f>
        <v>9789464630367</v>
      </c>
    </row>
    <row r="6071" spans="1:4" ht="30" x14ac:dyDescent="0.25">
      <c r="A6071" s="7" t="s">
        <v>13919</v>
      </c>
      <c r="B6071" s="8" t="s">
        <v>13827</v>
      </c>
      <c r="C6071" s="8" t="s">
        <v>13502</v>
      </c>
      <c r="D6071" s="8" t="str">
        <f>"9789464630244"</f>
        <v>9789464630244</v>
      </c>
    </row>
    <row r="6072" spans="1:4" ht="30" x14ac:dyDescent="0.25">
      <c r="A6072" s="7" t="s">
        <v>13766</v>
      </c>
      <c r="B6072" s="8" t="s">
        <v>199</v>
      </c>
      <c r="C6072" s="8" t="s">
        <v>13502</v>
      </c>
      <c r="D6072" s="8" t="str">
        <f>"9789464630541"</f>
        <v>9789464630541</v>
      </c>
    </row>
    <row r="6073" spans="1:4" ht="30" x14ac:dyDescent="0.25">
      <c r="A6073" s="7" t="s">
        <v>13787</v>
      </c>
      <c r="B6073" s="8" t="s">
        <v>13788</v>
      </c>
      <c r="C6073" s="8" t="s">
        <v>13502</v>
      </c>
      <c r="D6073" s="8" t="str">
        <f>"9782494069459"</f>
        <v>9782494069459</v>
      </c>
    </row>
    <row r="6074" spans="1:4" ht="30" x14ac:dyDescent="0.25">
      <c r="A6074" s="7" t="s">
        <v>13912</v>
      </c>
      <c r="B6074" s="8" t="s">
        <v>13913</v>
      </c>
      <c r="C6074" s="8" t="s">
        <v>13502</v>
      </c>
      <c r="D6074" s="8" t="str">
        <f>"9789464630169"</f>
        <v>9789464630169</v>
      </c>
    </row>
    <row r="6075" spans="1:4" ht="30" x14ac:dyDescent="0.25">
      <c r="A6075" s="7" t="s">
        <v>13885</v>
      </c>
      <c r="B6075" s="8" t="s">
        <v>13886</v>
      </c>
      <c r="C6075" s="8" t="s">
        <v>13502</v>
      </c>
      <c r="D6075" s="8" t="str">
        <f>"9789464630404"</f>
        <v>9789464630404</v>
      </c>
    </row>
    <row r="6076" spans="1:4" ht="30" x14ac:dyDescent="0.25">
      <c r="A6076" s="7" t="s">
        <v>13826</v>
      </c>
      <c r="B6076" s="8" t="s">
        <v>13827</v>
      </c>
      <c r="C6076" s="8" t="s">
        <v>13502</v>
      </c>
      <c r="D6076" s="8" t="str">
        <f>"9789464630343"</f>
        <v>9789464630343</v>
      </c>
    </row>
    <row r="6077" spans="1:4" ht="30" x14ac:dyDescent="0.25">
      <c r="A6077" s="7" t="s">
        <v>13879</v>
      </c>
      <c r="B6077" s="8" t="s">
        <v>13880</v>
      </c>
      <c r="C6077" s="8" t="s">
        <v>13502</v>
      </c>
      <c r="D6077" s="8" t="str">
        <f>"9789464630640"</f>
        <v>9789464630640</v>
      </c>
    </row>
    <row r="6078" spans="1:4" ht="30" x14ac:dyDescent="0.25">
      <c r="A6078" s="7" t="s">
        <v>13568</v>
      </c>
      <c r="B6078" s="8" t="s">
        <v>13569</v>
      </c>
      <c r="C6078" s="8" t="s">
        <v>13502</v>
      </c>
      <c r="D6078" s="8" t="str">
        <f>"9789464630053"</f>
        <v>9789464630053</v>
      </c>
    </row>
    <row r="6079" spans="1:4" ht="30" x14ac:dyDescent="0.25">
      <c r="A6079" s="7" t="s">
        <v>13779</v>
      </c>
      <c r="B6079" s="8" t="s">
        <v>13780</v>
      </c>
      <c r="C6079" s="8" t="s">
        <v>13502</v>
      </c>
      <c r="D6079" s="8" t="str">
        <f>"9789464630381"</f>
        <v>9789464630381</v>
      </c>
    </row>
    <row r="6080" spans="1:4" ht="30" x14ac:dyDescent="0.25">
      <c r="A6080" s="7" t="s">
        <v>13864</v>
      </c>
      <c r="B6080" s="8" t="s">
        <v>13865</v>
      </c>
      <c r="C6080" s="8" t="s">
        <v>13502</v>
      </c>
      <c r="D6080" s="8" t="str">
        <f>"9789464630442"</f>
        <v>9789464630442</v>
      </c>
    </row>
    <row r="6081" spans="1:4" ht="30" x14ac:dyDescent="0.25">
      <c r="A6081" s="7" t="s">
        <v>13930</v>
      </c>
      <c r="B6081" s="8" t="s">
        <v>13931</v>
      </c>
      <c r="C6081" s="8" t="s">
        <v>13502</v>
      </c>
      <c r="D6081" s="8" t="str">
        <f>"9789464630985"</f>
        <v>9789464630985</v>
      </c>
    </row>
    <row r="6082" spans="1:4" ht="30" x14ac:dyDescent="0.25">
      <c r="A6082" s="7" t="s">
        <v>14239</v>
      </c>
      <c r="B6082" s="8" t="s">
        <v>14240</v>
      </c>
      <c r="C6082" s="8" t="s">
        <v>13502</v>
      </c>
      <c r="D6082" s="8" t="str">
        <f>"9782494069978"</f>
        <v>9782494069978</v>
      </c>
    </row>
    <row r="6083" spans="1:4" ht="30" x14ac:dyDescent="0.25">
      <c r="A6083" s="7" t="s">
        <v>14068</v>
      </c>
      <c r="B6083" s="8" t="s">
        <v>14069</v>
      </c>
      <c r="C6083" s="8" t="s">
        <v>13502</v>
      </c>
      <c r="D6083" s="8" t="str">
        <f>"9782494069893"</f>
        <v>9782494069893</v>
      </c>
    </row>
    <row r="6084" spans="1:4" ht="30" x14ac:dyDescent="0.25">
      <c r="A6084" s="7" t="s">
        <v>13910</v>
      </c>
      <c r="B6084" s="8" t="s">
        <v>13911</v>
      </c>
      <c r="C6084" s="8" t="s">
        <v>13502</v>
      </c>
      <c r="D6084" s="8" t="str">
        <f>"9782494069312"</f>
        <v>9782494069312</v>
      </c>
    </row>
    <row r="6085" spans="1:4" ht="30" x14ac:dyDescent="0.25">
      <c r="A6085" s="7" t="s">
        <v>13901</v>
      </c>
      <c r="B6085" s="8" t="s">
        <v>13902</v>
      </c>
      <c r="C6085" s="8" t="s">
        <v>13502</v>
      </c>
      <c r="D6085" s="8" t="str">
        <f>"9782494069510"</f>
        <v>9782494069510</v>
      </c>
    </row>
    <row r="6086" spans="1:4" ht="30" x14ac:dyDescent="0.25">
      <c r="A6086" s="7" t="s">
        <v>13922</v>
      </c>
      <c r="B6086" s="8" t="s">
        <v>13923</v>
      </c>
      <c r="C6086" s="8" t="s">
        <v>13502</v>
      </c>
      <c r="D6086" s="8" t="str">
        <f>"9789464631067"</f>
        <v>9789464631067</v>
      </c>
    </row>
    <row r="6087" spans="1:4" ht="30" x14ac:dyDescent="0.25">
      <c r="A6087" s="7" t="s">
        <v>13928</v>
      </c>
      <c r="B6087" s="8" t="s">
        <v>13929</v>
      </c>
      <c r="C6087" s="8" t="s">
        <v>13502</v>
      </c>
      <c r="D6087" s="8" t="str">
        <f>"9789464630107"</f>
        <v>9789464630107</v>
      </c>
    </row>
    <row r="6088" spans="1:4" ht="30" x14ac:dyDescent="0.25">
      <c r="A6088" s="7" t="s">
        <v>13807</v>
      </c>
      <c r="B6088" s="8" t="s">
        <v>13808</v>
      </c>
      <c r="C6088" s="8" t="s">
        <v>13502</v>
      </c>
      <c r="D6088" s="8" t="str">
        <f>"9789464630305"</f>
        <v>9789464630305</v>
      </c>
    </row>
    <row r="6089" spans="1:4" ht="30" x14ac:dyDescent="0.25">
      <c r="A6089" s="7" t="s">
        <v>13984</v>
      </c>
      <c r="B6089" s="8" t="s">
        <v>13985</v>
      </c>
      <c r="C6089" s="8" t="s">
        <v>13502</v>
      </c>
      <c r="D6089" s="8" t="str">
        <f>"9789464631081"</f>
        <v>9789464631081</v>
      </c>
    </row>
    <row r="6090" spans="1:4" ht="30" x14ac:dyDescent="0.25">
      <c r="A6090" s="7" t="s">
        <v>13801</v>
      </c>
      <c r="B6090" s="8" t="s">
        <v>13802</v>
      </c>
      <c r="C6090" s="8" t="s">
        <v>13502</v>
      </c>
      <c r="D6090" s="8" t="str">
        <f>"9782494069374"</f>
        <v>9782494069374</v>
      </c>
    </row>
    <row r="6091" spans="1:4" ht="30" x14ac:dyDescent="0.25">
      <c r="A6091" s="7" t="s">
        <v>13877</v>
      </c>
      <c r="B6091" s="8" t="s">
        <v>13878</v>
      </c>
      <c r="C6091" s="8" t="s">
        <v>13502</v>
      </c>
      <c r="D6091" s="8" t="str">
        <f>"9789464630527"</f>
        <v>9789464630527</v>
      </c>
    </row>
    <row r="6092" spans="1:4" ht="30" x14ac:dyDescent="0.25">
      <c r="A6092" s="7" t="s">
        <v>13916</v>
      </c>
      <c r="B6092" s="8" t="s">
        <v>13902</v>
      </c>
      <c r="C6092" s="8" t="s">
        <v>13502</v>
      </c>
      <c r="D6092" s="8" t="str">
        <f>"9789464630121"</f>
        <v>9789464630121</v>
      </c>
    </row>
    <row r="6093" spans="1:4" ht="30" x14ac:dyDescent="0.25">
      <c r="A6093" s="7" t="s">
        <v>13920</v>
      </c>
      <c r="B6093" s="8" t="s">
        <v>13921</v>
      </c>
      <c r="C6093" s="8" t="s">
        <v>13502</v>
      </c>
      <c r="D6093" s="8" t="str">
        <f>"9782494069251"</f>
        <v>9782494069251</v>
      </c>
    </row>
    <row r="6094" spans="1:4" ht="30" x14ac:dyDescent="0.25">
      <c r="A6094" s="7" t="s">
        <v>13887</v>
      </c>
      <c r="B6094" s="8" t="s">
        <v>13888</v>
      </c>
      <c r="C6094" s="8" t="s">
        <v>13502</v>
      </c>
      <c r="D6094" s="8" t="str">
        <f>"9789464630428"</f>
        <v>9789464630428</v>
      </c>
    </row>
    <row r="6095" spans="1:4" ht="30" x14ac:dyDescent="0.25">
      <c r="A6095" s="7" t="s">
        <v>13905</v>
      </c>
      <c r="B6095" s="8" t="s">
        <v>13827</v>
      </c>
      <c r="C6095" s="8" t="s">
        <v>13502</v>
      </c>
      <c r="D6095" s="8" t="str">
        <f>"9782494069053"</f>
        <v>9782494069053</v>
      </c>
    </row>
    <row r="6096" spans="1:4" ht="30" x14ac:dyDescent="0.25">
      <c r="A6096" s="7" t="s">
        <v>13908</v>
      </c>
      <c r="B6096" s="8" t="s">
        <v>13909</v>
      </c>
      <c r="C6096" s="8" t="s">
        <v>13502</v>
      </c>
      <c r="D6096" s="8" t="str">
        <f>"9782494069138"</f>
        <v>9782494069138</v>
      </c>
    </row>
    <row r="6097" spans="1:4" ht="30" x14ac:dyDescent="0.25">
      <c r="A6097" s="7" t="s">
        <v>13836</v>
      </c>
      <c r="B6097" s="8" t="s">
        <v>13837</v>
      </c>
      <c r="C6097" s="8" t="s">
        <v>13502</v>
      </c>
      <c r="D6097" s="8" t="str">
        <f>"9789464630909"</f>
        <v>9789464630909</v>
      </c>
    </row>
    <row r="6098" spans="1:4" ht="30" x14ac:dyDescent="0.25">
      <c r="A6098" s="7" t="s">
        <v>13575</v>
      </c>
      <c r="B6098" s="8" t="s">
        <v>13576</v>
      </c>
      <c r="C6098" s="8" t="s">
        <v>13502</v>
      </c>
      <c r="D6098" s="8" t="str">
        <f>"9789464630022"</f>
        <v>9789464630022</v>
      </c>
    </row>
    <row r="6099" spans="1:4" ht="30" x14ac:dyDescent="0.25">
      <c r="A6099" s="7" t="s">
        <v>14328</v>
      </c>
      <c r="B6099" s="8" t="s">
        <v>14329</v>
      </c>
      <c r="C6099" s="8" t="s">
        <v>13502</v>
      </c>
      <c r="D6099" s="8" t="str">
        <f>"9782384760183"</f>
        <v>9782384760183</v>
      </c>
    </row>
    <row r="6100" spans="1:4" ht="30" x14ac:dyDescent="0.25">
      <c r="A6100" s="7" t="s">
        <v>14322</v>
      </c>
      <c r="B6100" s="8" t="s">
        <v>14323</v>
      </c>
      <c r="C6100" s="8" t="s">
        <v>13502</v>
      </c>
      <c r="D6100" s="8" t="str">
        <f>"9782384760046"</f>
        <v>9782384760046</v>
      </c>
    </row>
    <row r="6101" spans="1:4" ht="30" x14ac:dyDescent="0.25">
      <c r="A6101" s="7" t="s">
        <v>13591</v>
      </c>
      <c r="B6101" s="8" t="s">
        <v>13592</v>
      </c>
      <c r="C6101" s="8" t="s">
        <v>13502</v>
      </c>
      <c r="D6101" s="8" t="str">
        <f>"9782494069022"</f>
        <v>9782494069022</v>
      </c>
    </row>
    <row r="6102" spans="1:4" ht="30" x14ac:dyDescent="0.25">
      <c r="A6102" s="7" t="s">
        <v>13899</v>
      </c>
      <c r="B6102" s="8" t="s">
        <v>13900</v>
      </c>
      <c r="C6102" s="8" t="s">
        <v>13502</v>
      </c>
      <c r="D6102" s="8" t="str">
        <f>"9789464630589"</f>
        <v>9789464630589</v>
      </c>
    </row>
    <row r="6103" spans="1:4" ht="30" x14ac:dyDescent="0.25">
      <c r="A6103" s="7" t="s">
        <v>13756</v>
      </c>
      <c r="B6103" s="8" t="s">
        <v>13757</v>
      </c>
      <c r="C6103" s="8" t="s">
        <v>13502</v>
      </c>
      <c r="D6103" s="8" t="str">
        <f>"9782494069299"</f>
        <v>9782494069299</v>
      </c>
    </row>
    <row r="6104" spans="1:4" ht="30" x14ac:dyDescent="0.25">
      <c r="A6104" s="7" t="s">
        <v>13854</v>
      </c>
      <c r="B6104" s="8" t="s">
        <v>13855</v>
      </c>
      <c r="C6104" s="8" t="s">
        <v>13502</v>
      </c>
      <c r="D6104" s="8" t="str">
        <f>"9782494069794"</f>
        <v>9782494069794</v>
      </c>
    </row>
    <row r="6105" spans="1:4" ht="30" x14ac:dyDescent="0.25">
      <c r="A6105" s="7" t="s">
        <v>13870</v>
      </c>
      <c r="B6105" s="8" t="s">
        <v>13871</v>
      </c>
      <c r="C6105" s="8" t="s">
        <v>13502</v>
      </c>
      <c r="D6105" s="8" t="str">
        <f>"9782494069633"</f>
        <v>9782494069633</v>
      </c>
    </row>
    <row r="6106" spans="1:4" x14ac:dyDescent="0.25">
      <c r="A6106" s="7" t="s">
        <v>14320</v>
      </c>
      <c r="B6106" s="8" t="s">
        <v>14321</v>
      </c>
      <c r="C6106" s="8" t="s">
        <v>13502</v>
      </c>
      <c r="D6106" s="8" t="str">
        <f>"9782384760145"</f>
        <v>9782384760145</v>
      </c>
    </row>
    <row r="6107" spans="1:4" ht="30" x14ac:dyDescent="0.25">
      <c r="A6107" s="7" t="s">
        <v>13586</v>
      </c>
      <c r="B6107" s="8" t="s">
        <v>13587</v>
      </c>
      <c r="C6107" s="8" t="s">
        <v>13502</v>
      </c>
      <c r="D6107" s="8" t="str">
        <f>"9782494069114"</f>
        <v>9782494069114</v>
      </c>
    </row>
    <row r="6108" spans="1:4" x14ac:dyDescent="0.25">
      <c r="A6108" s="7" t="s">
        <v>13914</v>
      </c>
      <c r="B6108" s="8" t="s">
        <v>13915</v>
      </c>
      <c r="C6108" s="8" t="s">
        <v>13502</v>
      </c>
      <c r="D6108" s="8" t="str">
        <f>"9782494069213"</f>
        <v>9782494069213</v>
      </c>
    </row>
    <row r="6109" spans="1:4" ht="30" x14ac:dyDescent="0.25">
      <c r="A6109" s="7" t="s">
        <v>13897</v>
      </c>
      <c r="B6109" s="8" t="s">
        <v>13898</v>
      </c>
      <c r="C6109" s="8" t="s">
        <v>13502</v>
      </c>
      <c r="D6109" s="8" t="str">
        <f>"9789464630268"</f>
        <v>9789464630268</v>
      </c>
    </row>
    <row r="6110" spans="1:4" ht="30" x14ac:dyDescent="0.25">
      <c r="A6110" s="7" t="s">
        <v>13893</v>
      </c>
      <c r="B6110" s="8" t="s">
        <v>13894</v>
      </c>
      <c r="C6110" s="8" t="s">
        <v>13502</v>
      </c>
      <c r="D6110" s="8" t="str">
        <f>"9782494069497"</f>
        <v>9782494069497</v>
      </c>
    </row>
    <row r="6111" spans="1:4" ht="30" x14ac:dyDescent="0.25">
      <c r="A6111" s="7" t="s">
        <v>14134</v>
      </c>
      <c r="B6111" s="8" t="s">
        <v>14135</v>
      </c>
      <c r="C6111" s="8" t="s">
        <v>13502</v>
      </c>
      <c r="D6111" s="8" t="str">
        <f>"9782494069930"</f>
        <v>9782494069930</v>
      </c>
    </row>
    <row r="6112" spans="1:4" x14ac:dyDescent="0.25">
      <c r="A6112" s="7" t="s">
        <v>13803</v>
      </c>
      <c r="B6112" s="8" t="s">
        <v>13804</v>
      </c>
      <c r="C6112" s="8" t="s">
        <v>13502</v>
      </c>
      <c r="D6112" s="8" t="str">
        <f>"9789464630480"</f>
        <v>9789464630480</v>
      </c>
    </row>
    <row r="6113" spans="1:4" ht="30" x14ac:dyDescent="0.25">
      <c r="A6113" s="7" t="s">
        <v>13906</v>
      </c>
      <c r="B6113" s="8" t="s">
        <v>13907</v>
      </c>
      <c r="C6113" s="8" t="s">
        <v>13502</v>
      </c>
      <c r="D6113" s="8" t="str">
        <f>"9782494069190"</f>
        <v>9782494069190</v>
      </c>
    </row>
    <row r="6114" spans="1:4" ht="30" x14ac:dyDescent="0.25">
      <c r="A6114" s="7" t="s">
        <v>13889</v>
      </c>
      <c r="B6114" s="8" t="s">
        <v>13890</v>
      </c>
      <c r="C6114" s="8" t="s">
        <v>13502</v>
      </c>
      <c r="D6114" s="8" t="str">
        <f>"9782494069275"</f>
        <v>9782494069275</v>
      </c>
    </row>
    <row r="6115" spans="1:4" ht="30" x14ac:dyDescent="0.25">
      <c r="A6115" s="7" t="s">
        <v>13832</v>
      </c>
      <c r="B6115" s="8" t="s">
        <v>13833</v>
      </c>
      <c r="C6115" s="8" t="s">
        <v>13502</v>
      </c>
      <c r="D6115" s="8" t="str">
        <f>"9782494069336"</f>
        <v>9782494069336</v>
      </c>
    </row>
    <row r="6116" spans="1:4" x14ac:dyDescent="0.25">
      <c r="A6116" s="7" t="s">
        <v>13895</v>
      </c>
      <c r="B6116" s="8" t="s">
        <v>13896</v>
      </c>
      <c r="C6116" s="8" t="s">
        <v>13502</v>
      </c>
      <c r="D6116" s="8" t="str">
        <f>"9789464630763"</f>
        <v>9789464630763</v>
      </c>
    </row>
    <row r="6117" spans="1:4" ht="30" x14ac:dyDescent="0.25">
      <c r="A6117" s="7" t="s">
        <v>13764</v>
      </c>
      <c r="B6117" s="8" t="s">
        <v>13765</v>
      </c>
      <c r="C6117" s="8" t="s">
        <v>13502</v>
      </c>
      <c r="D6117" s="8" t="str">
        <f>"9789464630503"</f>
        <v>9789464630503</v>
      </c>
    </row>
    <row r="6118" spans="1:4" ht="30" x14ac:dyDescent="0.25">
      <c r="A6118" s="7" t="s">
        <v>13818</v>
      </c>
      <c r="B6118" s="8" t="s">
        <v>13819</v>
      </c>
      <c r="C6118" s="8" t="s">
        <v>13502</v>
      </c>
      <c r="D6118" s="8" t="str">
        <f>"9789464630626"</f>
        <v>9789464630626</v>
      </c>
    </row>
    <row r="6119" spans="1:4" x14ac:dyDescent="0.25">
      <c r="A6119" s="7" t="s">
        <v>13791</v>
      </c>
      <c r="B6119" s="8" t="s">
        <v>13792</v>
      </c>
      <c r="C6119" s="8" t="s">
        <v>13502</v>
      </c>
      <c r="D6119" s="8" t="str">
        <f>"9782494069473"</f>
        <v>9782494069473</v>
      </c>
    </row>
    <row r="6120" spans="1:4" ht="30" x14ac:dyDescent="0.25">
      <c r="A6120" s="7" t="s">
        <v>13903</v>
      </c>
      <c r="B6120" s="8" t="s">
        <v>13904</v>
      </c>
      <c r="C6120" s="8" t="s">
        <v>13502</v>
      </c>
      <c r="D6120" s="8" t="str">
        <f>"9782494069855"</f>
        <v>9782494069855</v>
      </c>
    </row>
    <row r="6121" spans="1:4" ht="30" x14ac:dyDescent="0.25">
      <c r="A6121" s="7" t="s">
        <v>14324</v>
      </c>
      <c r="B6121" s="8" t="s">
        <v>14325</v>
      </c>
      <c r="C6121" s="8" t="s">
        <v>13502</v>
      </c>
      <c r="D6121" s="8" t="str">
        <f>"9789464631142"</f>
        <v>9789464631142</v>
      </c>
    </row>
    <row r="6122" spans="1:4" ht="45" x14ac:dyDescent="0.25">
      <c r="A6122" s="7" t="s">
        <v>13805</v>
      </c>
      <c r="B6122" s="8" t="s">
        <v>13806</v>
      </c>
      <c r="C6122" s="8" t="s">
        <v>13502</v>
      </c>
      <c r="D6122" s="8" t="str">
        <f>"9782494069435"</f>
        <v>9782494069435</v>
      </c>
    </row>
    <row r="6123" spans="1:4" ht="30" x14ac:dyDescent="0.25">
      <c r="A6123" s="7" t="s">
        <v>13936</v>
      </c>
      <c r="B6123" s="8" t="s">
        <v>13937</v>
      </c>
      <c r="C6123" s="8" t="s">
        <v>13502</v>
      </c>
      <c r="D6123" s="8" t="str">
        <f>"9782494069770"</f>
        <v>9782494069770</v>
      </c>
    </row>
    <row r="6124" spans="1:4" ht="30" x14ac:dyDescent="0.25">
      <c r="A6124" s="7" t="s">
        <v>13850</v>
      </c>
      <c r="B6124" s="8" t="s">
        <v>13851</v>
      </c>
      <c r="C6124" s="8" t="s">
        <v>13502</v>
      </c>
      <c r="D6124" s="8" t="str">
        <f>"9782494069718"</f>
        <v>9782494069718</v>
      </c>
    </row>
    <row r="6125" spans="1:4" x14ac:dyDescent="0.25">
      <c r="A6125" s="7" t="s">
        <v>9634</v>
      </c>
      <c r="B6125" s="8" t="s">
        <v>9635</v>
      </c>
      <c r="C6125" s="8" t="s">
        <v>4245</v>
      </c>
      <c r="D6125" s="8" t="str">
        <f>"9789811912603"</f>
        <v>9789811912603</v>
      </c>
    </row>
    <row r="6126" spans="1:4" ht="30" x14ac:dyDescent="0.25">
      <c r="A6126" s="7" t="s">
        <v>13852</v>
      </c>
      <c r="B6126" s="8" t="s">
        <v>13853</v>
      </c>
      <c r="C6126" s="8" t="s">
        <v>13502</v>
      </c>
      <c r="D6126" s="8" t="str">
        <f>"9782494069671"</f>
        <v>9782494069671</v>
      </c>
    </row>
    <row r="6127" spans="1:4" ht="30" x14ac:dyDescent="0.25">
      <c r="A6127" s="7" t="s">
        <v>13793</v>
      </c>
      <c r="B6127" s="8" t="s">
        <v>13794</v>
      </c>
      <c r="C6127" s="8" t="s">
        <v>13502</v>
      </c>
      <c r="D6127" s="8" t="str">
        <f>"9782494069176"</f>
        <v>9782494069176</v>
      </c>
    </row>
    <row r="6128" spans="1:4" ht="30" x14ac:dyDescent="0.25">
      <c r="A6128" s="7" t="s">
        <v>13856</v>
      </c>
      <c r="B6128" s="8" t="s">
        <v>13857</v>
      </c>
      <c r="C6128" s="8" t="s">
        <v>13502</v>
      </c>
      <c r="D6128" s="8" t="str">
        <f>"9782494069879"</f>
        <v>9782494069879</v>
      </c>
    </row>
    <row r="6129" spans="1:4" ht="30" x14ac:dyDescent="0.25">
      <c r="A6129" s="7" t="s">
        <v>13758</v>
      </c>
      <c r="B6129" s="8" t="s">
        <v>13759</v>
      </c>
      <c r="C6129" s="8" t="s">
        <v>13502</v>
      </c>
      <c r="D6129" s="8" t="str">
        <f>"9789464630206"</f>
        <v>9789464630206</v>
      </c>
    </row>
    <row r="6130" spans="1:4" x14ac:dyDescent="0.25">
      <c r="A6130" s="7" t="s">
        <v>14168</v>
      </c>
      <c r="B6130" s="8" t="s">
        <v>14169</v>
      </c>
      <c r="C6130" s="8" t="s">
        <v>13502</v>
      </c>
      <c r="D6130" s="8" t="str">
        <f>"9782494069695"</f>
        <v>9782494069695</v>
      </c>
    </row>
    <row r="6131" spans="1:4" x14ac:dyDescent="0.25">
      <c r="A6131" s="7" t="s">
        <v>13775</v>
      </c>
      <c r="B6131" s="8" t="s">
        <v>13776</v>
      </c>
      <c r="C6131" s="8" t="s">
        <v>13502</v>
      </c>
      <c r="D6131" s="8" t="str">
        <f>"9789464630183"</f>
        <v>9789464630183</v>
      </c>
    </row>
    <row r="6132" spans="1:4" ht="30" x14ac:dyDescent="0.25">
      <c r="A6132" s="7" t="s">
        <v>13809</v>
      </c>
      <c r="B6132" s="8" t="s">
        <v>13810</v>
      </c>
      <c r="C6132" s="8" t="s">
        <v>13502</v>
      </c>
      <c r="D6132" s="8" t="str">
        <f>"9789464630886"</f>
        <v>9789464630886</v>
      </c>
    </row>
    <row r="6133" spans="1:4" ht="30" x14ac:dyDescent="0.25">
      <c r="A6133" s="7" t="s">
        <v>13840</v>
      </c>
      <c r="B6133" s="8" t="s">
        <v>13841</v>
      </c>
      <c r="C6133" s="8" t="s">
        <v>13502</v>
      </c>
      <c r="D6133" s="8" t="str">
        <f>"9789464630848"</f>
        <v>9789464630848</v>
      </c>
    </row>
    <row r="6134" spans="1:4" ht="30" x14ac:dyDescent="0.25">
      <c r="A6134" s="7" t="s">
        <v>13824</v>
      </c>
      <c r="B6134" s="8" t="s">
        <v>13825</v>
      </c>
      <c r="C6134" s="8" t="s">
        <v>13502</v>
      </c>
      <c r="D6134" s="8" t="str">
        <f>"9789464630787"</f>
        <v>9789464630787</v>
      </c>
    </row>
    <row r="6135" spans="1:4" x14ac:dyDescent="0.25">
      <c r="A6135" s="7" t="s">
        <v>14237</v>
      </c>
      <c r="B6135" s="8" t="s">
        <v>14238</v>
      </c>
      <c r="C6135" s="8" t="s">
        <v>13502</v>
      </c>
      <c r="D6135" s="8" t="str">
        <f>"9782384760060"</f>
        <v>9782384760060</v>
      </c>
    </row>
    <row r="6136" spans="1:4" ht="30" x14ac:dyDescent="0.25">
      <c r="A6136" s="7" t="s">
        <v>13868</v>
      </c>
      <c r="B6136" s="8" t="s">
        <v>13869</v>
      </c>
      <c r="C6136" s="8" t="s">
        <v>13502</v>
      </c>
      <c r="D6136" s="8" t="str">
        <f>"9782494069732"</f>
        <v>9782494069732</v>
      </c>
    </row>
    <row r="6137" spans="1:4" x14ac:dyDescent="0.25">
      <c r="A6137" s="7" t="s">
        <v>13842</v>
      </c>
      <c r="B6137" s="8" t="s">
        <v>13843</v>
      </c>
      <c r="C6137" s="8" t="s">
        <v>13502</v>
      </c>
      <c r="D6137" s="8" t="str">
        <f>"9789464630664"</f>
        <v>9789464630664</v>
      </c>
    </row>
    <row r="6138" spans="1:4" ht="30" x14ac:dyDescent="0.25">
      <c r="A6138" s="7" t="s">
        <v>13785</v>
      </c>
      <c r="B6138" s="8" t="s">
        <v>13786</v>
      </c>
      <c r="C6138" s="8" t="s">
        <v>13502</v>
      </c>
      <c r="D6138" s="8" t="str">
        <f>"9782494069756"</f>
        <v>9782494069756</v>
      </c>
    </row>
    <row r="6139" spans="1:4" ht="30" x14ac:dyDescent="0.25">
      <c r="A6139" s="7" t="s">
        <v>13917</v>
      </c>
      <c r="B6139" s="8" t="s">
        <v>13918</v>
      </c>
      <c r="C6139" s="8" t="s">
        <v>13502</v>
      </c>
      <c r="D6139" s="8" t="str">
        <f>"9789464630220"</f>
        <v>9789464630220</v>
      </c>
    </row>
    <row r="6140" spans="1:4" ht="30" x14ac:dyDescent="0.25">
      <c r="A6140" s="7" t="s">
        <v>13816</v>
      </c>
      <c r="B6140" s="8" t="s">
        <v>13817</v>
      </c>
      <c r="C6140" s="8" t="s">
        <v>13502</v>
      </c>
      <c r="D6140" s="8" t="str">
        <f>"9782494069558"</f>
        <v>9782494069558</v>
      </c>
    </row>
    <row r="6141" spans="1:4" ht="30" x14ac:dyDescent="0.25">
      <c r="A6141" s="7" t="s">
        <v>14281</v>
      </c>
      <c r="B6141" s="8" t="s">
        <v>14282</v>
      </c>
      <c r="C6141" s="8" t="s">
        <v>13502</v>
      </c>
      <c r="D6141" s="8" t="str">
        <f>"9789464630923"</f>
        <v>9789464630923</v>
      </c>
    </row>
    <row r="6142" spans="1:4" ht="30" x14ac:dyDescent="0.25">
      <c r="A6142" s="7" t="s">
        <v>14265</v>
      </c>
      <c r="B6142" s="8" t="s">
        <v>14266</v>
      </c>
      <c r="C6142" s="8" t="s">
        <v>13502</v>
      </c>
      <c r="D6142" s="8" t="str">
        <f>"9782494069831"</f>
        <v>9782494069831</v>
      </c>
    </row>
    <row r="6143" spans="1:4" ht="30" x14ac:dyDescent="0.25">
      <c r="A6143" s="7" t="s">
        <v>13501</v>
      </c>
      <c r="B6143" s="8" t="s">
        <v>13503</v>
      </c>
      <c r="C6143" s="8" t="s">
        <v>13502</v>
      </c>
      <c r="D6143" s="8" t="str">
        <f>"9789462392663"</f>
        <v>9789462392663</v>
      </c>
    </row>
    <row r="6144" spans="1:4" ht="30" x14ac:dyDescent="0.25">
      <c r="A6144" s="7" t="s">
        <v>13501</v>
      </c>
      <c r="B6144" s="8" t="s">
        <v>13503</v>
      </c>
      <c r="C6144" s="8" t="s">
        <v>13502</v>
      </c>
      <c r="D6144" s="8" t="str">
        <f>"9789464630749"</f>
        <v>9789464630749</v>
      </c>
    </row>
    <row r="6145" spans="1:4" ht="30" x14ac:dyDescent="0.25">
      <c r="A6145" s="7" t="s">
        <v>13872</v>
      </c>
      <c r="B6145" s="8" t="s">
        <v>13873</v>
      </c>
      <c r="C6145" s="8" t="s">
        <v>13502</v>
      </c>
      <c r="D6145" s="8" t="str">
        <f>"9782494069619"</f>
        <v>9782494069619</v>
      </c>
    </row>
    <row r="6146" spans="1:4" ht="30" x14ac:dyDescent="0.25">
      <c r="A6146" s="7" t="s">
        <v>13593</v>
      </c>
      <c r="B6146" s="8" t="s">
        <v>13594</v>
      </c>
      <c r="C6146" s="8" t="s">
        <v>13502</v>
      </c>
      <c r="D6146" s="8" t="str">
        <f>"9782494069077"</f>
        <v>9782494069077</v>
      </c>
    </row>
    <row r="6147" spans="1:4" ht="30" x14ac:dyDescent="0.25">
      <c r="A6147" s="7" t="s">
        <v>13866</v>
      </c>
      <c r="B6147" s="8" t="s">
        <v>13867</v>
      </c>
      <c r="C6147" s="8" t="s">
        <v>13502</v>
      </c>
      <c r="D6147" s="8" t="str">
        <f>"9789464630947"</f>
        <v>9789464630947</v>
      </c>
    </row>
    <row r="6148" spans="1:4" ht="30" x14ac:dyDescent="0.25">
      <c r="A6148" s="7" t="s">
        <v>14243</v>
      </c>
      <c r="B6148" s="8" t="s">
        <v>14244</v>
      </c>
      <c r="C6148" s="8" t="s">
        <v>13502</v>
      </c>
      <c r="D6148" s="8" t="str">
        <f>"9782494069954"</f>
        <v>9782494069954</v>
      </c>
    </row>
    <row r="6149" spans="1:4" ht="30" x14ac:dyDescent="0.25">
      <c r="A6149" s="7" t="s">
        <v>13789</v>
      </c>
      <c r="B6149" s="8" t="s">
        <v>13790</v>
      </c>
      <c r="C6149" s="8" t="s">
        <v>13502</v>
      </c>
      <c r="D6149" s="8" t="str">
        <f>"9789464630688"</f>
        <v>9789464630688</v>
      </c>
    </row>
    <row r="6150" spans="1:4" x14ac:dyDescent="0.25">
      <c r="A6150" s="7" t="s">
        <v>13828</v>
      </c>
      <c r="B6150" s="8" t="s">
        <v>13829</v>
      </c>
      <c r="C6150" s="8" t="s">
        <v>13502</v>
      </c>
      <c r="D6150" s="8" t="str">
        <f>"9782494069596"</f>
        <v>9782494069596</v>
      </c>
    </row>
    <row r="6151" spans="1:4" x14ac:dyDescent="0.25">
      <c r="A6151" s="7" t="s">
        <v>13926</v>
      </c>
      <c r="B6151" s="8" t="s">
        <v>13927</v>
      </c>
      <c r="C6151" s="8" t="s">
        <v>13502</v>
      </c>
      <c r="D6151" s="8" t="str">
        <f>"9782494069237"</f>
        <v>9782494069237</v>
      </c>
    </row>
    <row r="6152" spans="1:4" ht="30" x14ac:dyDescent="0.25">
      <c r="A6152" s="7" t="s">
        <v>13813</v>
      </c>
      <c r="B6152" s="8" t="s">
        <v>13814</v>
      </c>
      <c r="C6152" s="8" t="s">
        <v>13502</v>
      </c>
      <c r="D6152" s="8" t="str">
        <f>"9789464630145"</f>
        <v>9789464630145</v>
      </c>
    </row>
    <row r="6153" spans="1:4" ht="30" x14ac:dyDescent="0.25">
      <c r="A6153" s="7" t="s">
        <v>6226</v>
      </c>
      <c r="B6153" s="8" t="s">
        <v>6227</v>
      </c>
      <c r="C6153" s="8" t="s">
        <v>2273</v>
      </c>
      <c r="D6153" s="8" t="str">
        <f>"9783319205915"</f>
        <v>9783319205915</v>
      </c>
    </row>
    <row r="6154" spans="1:4" x14ac:dyDescent="0.25">
      <c r="A6154" s="7" t="s">
        <v>13838</v>
      </c>
      <c r="B6154" s="8" t="s">
        <v>13839</v>
      </c>
      <c r="C6154" s="8" t="s">
        <v>13502</v>
      </c>
      <c r="D6154" s="8" t="str">
        <f>"9789464630725"</f>
        <v>9789464630725</v>
      </c>
    </row>
    <row r="6155" spans="1:4" ht="30" x14ac:dyDescent="0.25">
      <c r="A6155" s="7" t="s">
        <v>13932</v>
      </c>
      <c r="B6155" s="8" t="s">
        <v>13933</v>
      </c>
      <c r="C6155" s="8" t="s">
        <v>13502</v>
      </c>
      <c r="D6155" s="8" t="str">
        <f>"9789464630862"</f>
        <v>9789464630862</v>
      </c>
    </row>
    <row r="6156" spans="1:4" ht="30" x14ac:dyDescent="0.25">
      <c r="A6156" s="7" t="s">
        <v>13844</v>
      </c>
      <c r="B6156" s="8" t="s">
        <v>13845</v>
      </c>
      <c r="C6156" s="8" t="s">
        <v>13502</v>
      </c>
      <c r="D6156" s="8" t="str">
        <f>"9789464630701"</f>
        <v>9789464630701</v>
      </c>
    </row>
    <row r="6157" spans="1:4" ht="30" x14ac:dyDescent="0.25">
      <c r="A6157" s="7" t="s">
        <v>13846</v>
      </c>
      <c r="B6157" s="8" t="s">
        <v>13847</v>
      </c>
      <c r="C6157" s="8" t="s">
        <v>13502</v>
      </c>
      <c r="D6157" s="8" t="str">
        <f>"9782494069657"</f>
        <v>9782494069657</v>
      </c>
    </row>
    <row r="6158" spans="1:4" ht="30" x14ac:dyDescent="0.25">
      <c r="A6158" s="7" t="s">
        <v>13858</v>
      </c>
      <c r="B6158" s="8" t="s">
        <v>13859</v>
      </c>
      <c r="C6158" s="8" t="s">
        <v>13502</v>
      </c>
      <c r="D6158" s="8" t="str">
        <f>"9789464630800"</f>
        <v>9789464630800</v>
      </c>
    </row>
    <row r="6159" spans="1:4" ht="30" x14ac:dyDescent="0.25">
      <c r="A6159" s="7" t="s">
        <v>13875</v>
      </c>
      <c r="B6159" s="8" t="s">
        <v>13876</v>
      </c>
      <c r="C6159" s="8" t="s">
        <v>13502</v>
      </c>
      <c r="D6159" s="8" t="str">
        <f>"9789464631005"</f>
        <v>9789464631005</v>
      </c>
    </row>
    <row r="6160" spans="1:4" x14ac:dyDescent="0.25">
      <c r="A6160" s="7" t="s">
        <v>13891</v>
      </c>
      <c r="B6160" s="8" t="s">
        <v>13892</v>
      </c>
      <c r="C6160" s="8" t="s">
        <v>13502</v>
      </c>
      <c r="D6160" s="8" t="str">
        <f>"9789464630282"</f>
        <v>9789464630282</v>
      </c>
    </row>
    <row r="6161" spans="1:4" ht="30" x14ac:dyDescent="0.25">
      <c r="A6161" s="7" t="s">
        <v>13874</v>
      </c>
      <c r="B6161" s="8" t="s">
        <v>205</v>
      </c>
      <c r="C6161" s="8" t="s">
        <v>13502</v>
      </c>
      <c r="D6161" s="8" t="str">
        <f>"9789464630961"</f>
        <v>9789464630961</v>
      </c>
    </row>
    <row r="6162" spans="1:4" x14ac:dyDescent="0.25">
      <c r="A6162" s="7" t="s">
        <v>13830</v>
      </c>
      <c r="B6162" s="8" t="s">
        <v>13831</v>
      </c>
      <c r="C6162" s="8" t="s">
        <v>13502</v>
      </c>
      <c r="D6162" s="8" t="str">
        <f>"9789464630824"</f>
        <v>9789464630824</v>
      </c>
    </row>
    <row r="6163" spans="1:4" ht="30" x14ac:dyDescent="0.25">
      <c r="A6163" s="7" t="s">
        <v>13848</v>
      </c>
      <c r="B6163" s="8" t="s">
        <v>13849</v>
      </c>
      <c r="C6163" s="8" t="s">
        <v>13502</v>
      </c>
      <c r="D6163" s="8" t="str">
        <f>"9782494069411"</f>
        <v>9782494069411</v>
      </c>
    </row>
    <row r="6164" spans="1:4" x14ac:dyDescent="0.25">
      <c r="A6164" s="7" t="s">
        <v>6215</v>
      </c>
      <c r="B6164" s="8" t="s">
        <v>6216</v>
      </c>
      <c r="C6164" s="8" t="s">
        <v>2273</v>
      </c>
      <c r="D6164" s="8" t="str">
        <f>"9783319628707"</f>
        <v>9783319628707</v>
      </c>
    </row>
    <row r="6165" spans="1:4" ht="30" x14ac:dyDescent="0.25">
      <c r="A6165" s="7" t="s">
        <v>14074</v>
      </c>
      <c r="B6165" s="8" t="s">
        <v>14075</v>
      </c>
      <c r="C6165" s="8" t="s">
        <v>13502</v>
      </c>
      <c r="D6165" s="8" t="str">
        <f>"9782494069916"</f>
        <v>9782494069916</v>
      </c>
    </row>
    <row r="6166" spans="1:4" x14ac:dyDescent="0.25">
      <c r="A6166" s="7" t="s">
        <v>13820</v>
      </c>
      <c r="B6166" s="8" t="s">
        <v>13821</v>
      </c>
      <c r="C6166" s="8" t="s">
        <v>13502</v>
      </c>
      <c r="D6166" s="8" t="str">
        <f>"9789464630329"</f>
        <v>9789464630329</v>
      </c>
    </row>
    <row r="6167" spans="1:4" ht="30" x14ac:dyDescent="0.25">
      <c r="A6167" s="7" t="s">
        <v>13570</v>
      </c>
      <c r="B6167" s="8" t="s">
        <v>13571</v>
      </c>
      <c r="C6167" s="8" t="s">
        <v>13502</v>
      </c>
      <c r="D6167" s="8" t="str">
        <f>"9782494069091"</f>
        <v>9782494069091</v>
      </c>
    </row>
    <row r="6168" spans="1:4" x14ac:dyDescent="0.25">
      <c r="A6168" s="7" t="s">
        <v>14310</v>
      </c>
      <c r="B6168" s="8" t="s">
        <v>14311</v>
      </c>
      <c r="C6168" s="8" t="s">
        <v>13502</v>
      </c>
      <c r="D6168" s="8" t="str">
        <f>"9789464631043"</f>
        <v>9789464631043</v>
      </c>
    </row>
    <row r="6169" spans="1:4" ht="30" x14ac:dyDescent="0.25">
      <c r="A6169" s="7" t="s">
        <v>14122</v>
      </c>
      <c r="B6169" s="8" t="s">
        <v>14123</v>
      </c>
      <c r="C6169" s="8" t="s">
        <v>13502</v>
      </c>
      <c r="D6169" s="8" t="str">
        <f>"9782494069350"</f>
        <v>9782494069350</v>
      </c>
    </row>
    <row r="6170" spans="1:4" x14ac:dyDescent="0.25">
      <c r="A6170" s="7" t="s">
        <v>9340</v>
      </c>
      <c r="B6170" s="8" t="s">
        <v>9341</v>
      </c>
      <c r="C6170" s="8" t="s">
        <v>9256</v>
      </c>
      <c r="D6170" s="8" t="str">
        <f>"9788021095779"</f>
        <v>9788021095779</v>
      </c>
    </row>
    <row r="6171" spans="1:4" x14ac:dyDescent="0.25">
      <c r="A6171" s="7" t="s">
        <v>2943</v>
      </c>
      <c r="B6171" s="8" t="s">
        <v>2944</v>
      </c>
      <c r="C6171" s="8" t="s">
        <v>1345</v>
      </c>
      <c r="D6171" s="8" t="str">
        <f>"9783862199518"</f>
        <v>9783862199518</v>
      </c>
    </row>
    <row r="6172" spans="1:4" x14ac:dyDescent="0.25">
      <c r="A6172" s="7" t="s">
        <v>12240</v>
      </c>
      <c r="B6172" s="8" t="s">
        <v>12241</v>
      </c>
      <c r="C6172" s="8" t="s">
        <v>2273</v>
      </c>
      <c r="D6172" s="8" t="str">
        <f>"9783031088483"</f>
        <v>9783031088483</v>
      </c>
    </row>
    <row r="6173" spans="1:4" ht="30" x14ac:dyDescent="0.25">
      <c r="A6173" s="7" t="s">
        <v>9515</v>
      </c>
      <c r="B6173" s="8" t="s">
        <v>9516</v>
      </c>
      <c r="C6173" s="8" t="s">
        <v>2273</v>
      </c>
      <c r="D6173" s="8" t="str">
        <f>"9783030985813"</f>
        <v>9783030985813</v>
      </c>
    </row>
    <row r="6174" spans="1:4" x14ac:dyDescent="0.25">
      <c r="A6174" s="7" t="s">
        <v>10416</v>
      </c>
      <c r="B6174" s="8" t="s">
        <v>10417</v>
      </c>
      <c r="C6174" s="8" t="s">
        <v>993</v>
      </c>
      <c r="D6174" s="8" t="str">
        <f>"9783839455883"</f>
        <v>9783839455883</v>
      </c>
    </row>
    <row r="6175" spans="1:4" x14ac:dyDescent="0.25">
      <c r="A6175" s="7" t="s">
        <v>10340</v>
      </c>
      <c r="B6175" s="8" t="s">
        <v>10341</v>
      </c>
      <c r="C6175" s="8" t="s">
        <v>993</v>
      </c>
      <c r="D6175" s="8" t="str">
        <f>"9783839449745"</f>
        <v>9783839449745</v>
      </c>
    </row>
    <row r="6176" spans="1:4" x14ac:dyDescent="0.25">
      <c r="A6176" s="7" t="s">
        <v>10647</v>
      </c>
      <c r="B6176" s="8" t="s">
        <v>10648</v>
      </c>
      <c r="C6176" s="8" t="s">
        <v>1865</v>
      </c>
      <c r="D6176" s="8" t="str">
        <f>"9789179292829"</f>
        <v>9789179292829</v>
      </c>
    </row>
    <row r="6177" spans="1:4" ht="30" x14ac:dyDescent="0.25">
      <c r="A6177" s="7" t="s">
        <v>10671</v>
      </c>
      <c r="B6177" s="8" t="s">
        <v>10672</v>
      </c>
      <c r="C6177" s="8" t="s">
        <v>5086</v>
      </c>
      <c r="D6177" s="8" t="str">
        <f>"9783658342937"</f>
        <v>9783658342937</v>
      </c>
    </row>
    <row r="6178" spans="1:4" ht="30" x14ac:dyDescent="0.25">
      <c r="A6178" s="7" t="s">
        <v>3200</v>
      </c>
      <c r="B6178" s="8" t="s">
        <v>3201</v>
      </c>
      <c r="C6178" s="8" t="s">
        <v>1865</v>
      </c>
      <c r="D6178" s="8" t="str">
        <f>"9789176855539"</f>
        <v>9789176855539</v>
      </c>
    </row>
    <row r="6179" spans="1:4" ht="30" x14ac:dyDescent="0.25">
      <c r="A6179" s="7" t="s">
        <v>2026</v>
      </c>
      <c r="B6179" s="8" t="s">
        <v>2027</v>
      </c>
      <c r="C6179" s="8" t="s">
        <v>1962</v>
      </c>
      <c r="D6179" s="8" t="str">
        <f>"9782759206872"</f>
        <v>9782759206872</v>
      </c>
    </row>
    <row r="6180" spans="1:4" x14ac:dyDescent="0.25">
      <c r="A6180" s="7" t="s">
        <v>3431</v>
      </c>
      <c r="B6180" s="8" t="s">
        <v>3432</v>
      </c>
      <c r="C6180" s="8" t="s">
        <v>1865</v>
      </c>
      <c r="D6180" s="8" t="str">
        <f>"9789176854013"</f>
        <v>9789176854013</v>
      </c>
    </row>
    <row r="6181" spans="1:4" ht="30" x14ac:dyDescent="0.25">
      <c r="A6181" s="7" t="s">
        <v>14583</v>
      </c>
      <c r="B6181" s="8" t="s">
        <v>14463</v>
      </c>
      <c r="C6181" s="8" t="s">
        <v>1865</v>
      </c>
      <c r="D6181" s="8" t="str">
        <f>"9789179294823"</f>
        <v>9789179294823</v>
      </c>
    </row>
    <row r="6182" spans="1:4" ht="30" x14ac:dyDescent="0.25">
      <c r="A6182" s="7" t="s">
        <v>1987</v>
      </c>
      <c r="B6182" s="8" t="s">
        <v>1988</v>
      </c>
      <c r="C6182" s="8" t="s">
        <v>1962</v>
      </c>
      <c r="D6182" s="8" t="str">
        <f>"9782759207107"</f>
        <v>9782759207107</v>
      </c>
    </row>
    <row r="6183" spans="1:4" ht="45" x14ac:dyDescent="0.25">
      <c r="A6183" s="7" t="s">
        <v>1803</v>
      </c>
      <c r="B6183" s="8" t="s">
        <v>1804</v>
      </c>
      <c r="C6183" s="8" t="s">
        <v>1345</v>
      </c>
      <c r="D6183" s="8" t="str">
        <f>"9783862197835"</f>
        <v>9783862197835</v>
      </c>
    </row>
    <row r="6184" spans="1:4" ht="45" x14ac:dyDescent="0.25">
      <c r="A6184" s="7" t="s">
        <v>13267</v>
      </c>
      <c r="B6184" s="8" t="s">
        <v>13265</v>
      </c>
      <c r="C6184" s="8" t="s">
        <v>12712</v>
      </c>
      <c r="D6184" s="8" t="str">
        <f>"9783428574322"</f>
        <v>9783428574322</v>
      </c>
    </row>
    <row r="6185" spans="1:4" x14ac:dyDescent="0.25">
      <c r="A6185" s="7" t="s">
        <v>12957</v>
      </c>
      <c r="B6185" s="8" t="s">
        <v>12941</v>
      </c>
      <c r="C6185" s="8" t="s">
        <v>12712</v>
      </c>
      <c r="D6185" s="8" t="str">
        <f>"9783428457601"</f>
        <v>9783428457601</v>
      </c>
    </row>
    <row r="6186" spans="1:4" ht="30" x14ac:dyDescent="0.25">
      <c r="A6186" s="7" t="s">
        <v>5578</v>
      </c>
      <c r="B6186" s="8" t="s">
        <v>5579</v>
      </c>
      <c r="C6186" s="8" t="s">
        <v>5134</v>
      </c>
      <c r="D6186" s="8" t="str">
        <f>"9783662615843"</f>
        <v>9783662615843</v>
      </c>
    </row>
    <row r="6187" spans="1:4" x14ac:dyDescent="0.25">
      <c r="A6187" s="7" t="s">
        <v>14236</v>
      </c>
      <c r="B6187" s="8" t="s">
        <v>132</v>
      </c>
      <c r="C6187" s="8" t="s">
        <v>9256</v>
      </c>
      <c r="D6187" s="8" t="str">
        <f>"9788028002411"</f>
        <v>9788028002411</v>
      </c>
    </row>
    <row r="6188" spans="1:4" ht="30" x14ac:dyDescent="0.25">
      <c r="A6188" s="7" t="s">
        <v>1697</v>
      </c>
      <c r="B6188" s="8" t="s">
        <v>1698</v>
      </c>
      <c r="C6188" s="8" t="s">
        <v>1345</v>
      </c>
      <c r="D6188" s="8" t="str">
        <f>"9783862194858"</f>
        <v>9783862194858</v>
      </c>
    </row>
    <row r="6189" spans="1:4" x14ac:dyDescent="0.25">
      <c r="A6189" s="7" t="s">
        <v>9310</v>
      </c>
      <c r="B6189" s="8" t="s">
        <v>9311</v>
      </c>
      <c r="C6189" s="8" t="s">
        <v>9256</v>
      </c>
      <c r="D6189" s="8" t="str">
        <f>"9788021094826"</f>
        <v>9788021094826</v>
      </c>
    </row>
    <row r="6190" spans="1:4" ht="30" x14ac:dyDescent="0.25">
      <c r="A6190" s="7" t="s">
        <v>7524</v>
      </c>
      <c r="B6190" s="8" t="s">
        <v>7525</v>
      </c>
      <c r="C6190" s="8" t="s">
        <v>993</v>
      </c>
      <c r="D6190" s="8" t="str">
        <f>"9783839409367"</f>
        <v>9783839409367</v>
      </c>
    </row>
    <row r="6191" spans="1:4" x14ac:dyDescent="0.25">
      <c r="A6191" s="7" t="s">
        <v>15756</v>
      </c>
      <c r="B6191" s="8" t="s">
        <v>15757</v>
      </c>
      <c r="C6191" s="8" t="s">
        <v>1865</v>
      </c>
      <c r="D6191" s="8" t="str">
        <f>"9789176856758"</f>
        <v>9789176856758</v>
      </c>
    </row>
    <row r="6192" spans="1:4" ht="30" x14ac:dyDescent="0.25">
      <c r="A6192" s="7" t="s">
        <v>6432</v>
      </c>
      <c r="B6192" s="8" t="s">
        <v>6433</v>
      </c>
      <c r="C6192" s="8" t="s">
        <v>5086</v>
      </c>
      <c r="D6192" s="8" t="str">
        <f>"9783658324117"</f>
        <v>9783658324117</v>
      </c>
    </row>
    <row r="6193" spans="1:4" x14ac:dyDescent="0.25">
      <c r="A6193" s="7" t="s">
        <v>4253</v>
      </c>
      <c r="B6193" s="8" t="s">
        <v>4254</v>
      </c>
      <c r="C6193" s="8" t="s">
        <v>1865</v>
      </c>
      <c r="D6193" s="8" t="str">
        <f>"9789176851951"</f>
        <v>9789176851951</v>
      </c>
    </row>
    <row r="6194" spans="1:4" ht="30" x14ac:dyDescent="0.25">
      <c r="A6194" s="7" t="s">
        <v>3586</v>
      </c>
      <c r="B6194" s="8" t="s">
        <v>3587</v>
      </c>
      <c r="C6194" s="8" t="s">
        <v>1865</v>
      </c>
      <c r="D6194" s="8" t="str">
        <f>"9789176853702"</f>
        <v>9789176853702</v>
      </c>
    </row>
    <row r="6195" spans="1:4" ht="30" x14ac:dyDescent="0.25">
      <c r="A6195" s="7" t="s">
        <v>4842</v>
      </c>
      <c r="B6195" s="8" t="s">
        <v>4843</v>
      </c>
      <c r="C6195" s="8" t="s">
        <v>2273</v>
      </c>
      <c r="D6195" s="8" t="str">
        <f>"9783030168773"</f>
        <v>9783030168773</v>
      </c>
    </row>
    <row r="6196" spans="1:4" ht="45" x14ac:dyDescent="0.25">
      <c r="A6196" s="7" t="s">
        <v>6647</v>
      </c>
      <c r="B6196" s="8" t="s">
        <v>6648</v>
      </c>
      <c r="C6196" s="8" t="s">
        <v>2273</v>
      </c>
      <c r="D6196" s="8" t="str">
        <f>"9783030720193"</f>
        <v>9783030720193</v>
      </c>
    </row>
    <row r="6197" spans="1:4" ht="45" x14ac:dyDescent="0.25">
      <c r="A6197" s="7" t="s">
        <v>9543</v>
      </c>
      <c r="B6197" s="8" t="s">
        <v>9544</v>
      </c>
      <c r="C6197" s="8" t="s">
        <v>2273</v>
      </c>
      <c r="D6197" s="8" t="str">
        <f>"9783030993368"</f>
        <v>9783030993368</v>
      </c>
    </row>
    <row r="6198" spans="1:4" x14ac:dyDescent="0.25">
      <c r="A6198" s="7" t="s">
        <v>14078</v>
      </c>
      <c r="B6198" s="8" t="s">
        <v>210</v>
      </c>
      <c r="C6198" s="8" t="s">
        <v>2273</v>
      </c>
      <c r="D6198" s="8" t="str">
        <f>"9783031168987"</f>
        <v>9783031168987</v>
      </c>
    </row>
    <row r="6199" spans="1:4" x14ac:dyDescent="0.25">
      <c r="A6199" s="7" t="s">
        <v>14079</v>
      </c>
      <c r="B6199" s="8" t="s">
        <v>14080</v>
      </c>
      <c r="C6199" s="8" t="s">
        <v>2273</v>
      </c>
      <c r="D6199" s="8" t="str">
        <f>"9783031184710"</f>
        <v>9783031184710</v>
      </c>
    </row>
    <row r="6200" spans="1:4" ht="30" x14ac:dyDescent="0.25">
      <c r="A6200" s="7" t="s">
        <v>6006</v>
      </c>
      <c r="B6200" s="8" t="s">
        <v>6007</v>
      </c>
      <c r="C6200" s="8" t="s">
        <v>5086</v>
      </c>
      <c r="D6200" s="8" t="str">
        <f>"9783658205409"</f>
        <v>9783658205409</v>
      </c>
    </row>
    <row r="6201" spans="1:4" ht="30" x14ac:dyDescent="0.25">
      <c r="A6201" s="7" t="s">
        <v>6351</v>
      </c>
      <c r="B6201" s="8" t="s">
        <v>95</v>
      </c>
      <c r="C6201" s="8" t="s">
        <v>5134</v>
      </c>
      <c r="D6201" s="8" t="str">
        <f>"9783662622315"</f>
        <v>9783662622315</v>
      </c>
    </row>
    <row r="6202" spans="1:4" x14ac:dyDescent="0.25">
      <c r="A6202" s="7" t="s">
        <v>11178</v>
      </c>
      <c r="B6202" s="8" t="s">
        <v>11179</v>
      </c>
      <c r="C6202" s="8" t="s">
        <v>355</v>
      </c>
      <c r="D6202" s="8" t="str">
        <f>"9783111685328"</f>
        <v>9783111685328</v>
      </c>
    </row>
    <row r="6203" spans="1:4" x14ac:dyDescent="0.25">
      <c r="A6203" s="7" t="s">
        <v>9368</v>
      </c>
      <c r="B6203" s="8" t="s">
        <v>9323</v>
      </c>
      <c r="C6203" s="8" t="s">
        <v>9256</v>
      </c>
      <c r="D6203" s="8" t="str">
        <f>"9788021096400"</f>
        <v>9788021096400</v>
      </c>
    </row>
    <row r="6204" spans="1:4" ht="30" x14ac:dyDescent="0.25">
      <c r="A6204" s="7" t="s">
        <v>14687</v>
      </c>
      <c r="B6204" s="8" t="s">
        <v>14688</v>
      </c>
      <c r="C6204" s="8" t="s">
        <v>1865</v>
      </c>
      <c r="D6204" s="8" t="str">
        <f>"9789179290450"</f>
        <v>9789179290450</v>
      </c>
    </row>
    <row r="6205" spans="1:4" x14ac:dyDescent="0.25">
      <c r="A6205" s="7" t="s">
        <v>5350</v>
      </c>
      <c r="B6205" s="8" t="s">
        <v>5351</v>
      </c>
      <c r="C6205" s="8" t="s">
        <v>2273</v>
      </c>
      <c r="D6205" s="8" t="str">
        <f>"9783319553818"</f>
        <v>9783319553818</v>
      </c>
    </row>
    <row r="6206" spans="1:4" ht="30" x14ac:dyDescent="0.25">
      <c r="A6206" s="7" t="s">
        <v>5750</v>
      </c>
      <c r="B6206" s="8" t="s">
        <v>5751</v>
      </c>
      <c r="C6206" s="8" t="s">
        <v>2273</v>
      </c>
      <c r="D6206" s="8" t="str">
        <f>"9783319086057"</f>
        <v>9783319086057</v>
      </c>
    </row>
    <row r="6207" spans="1:4" ht="30" x14ac:dyDescent="0.25">
      <c r="A6207" s="7" t="s">
        <v>15348</v>
      </c>
      <c r="B6207" s="8" t="s">
        <v>3262</v>
      </c>
      <c r="C6207" s="8" t="s">
        <v>1865</v>
      </c>
      <c r="D6207" s="8" t="str">
        <f>"9789175192680"</f>
        <v>9789175192680</v>
      </c>
    </row>
    <row r="6208" spans="1:4" x14ac:dyDescent="0.25">
      <c r="A6208" s="7" t="s">
        <v>3561</v>
      </c>
      <c r="B6208" s="8" t="s">
        <v>3562</v>
      </c>
      <c r="C6208" s="8" t="s">
        <v>1865</v>
      </c>
      <c r="D6208" s="8" t="str">
        <f>"9789176853825"</f>
        <v>9789176853825</v>
      </c>
    </row>
    <row r="6209" spans="1:4" ht="30" x14ac:dyDescent="0.25">
      <c r="A6209" s="7" t="s">
        <v>16369</v>
      </c>
      <c r="B6209" s="8" t="s">
        <v>16370</v>
      </c>
      <c r="C6209" s="8" t="s">
        <v>1865</v>
      </c>
      <c r="D6209" s="8" t="str">
        <f>"9789175199108"</f>
        <v>9789175199108</v>
      </c>
    </row>
    <row r="6210" spans="1:4" x14ac:dyDescent="0.25">
      <c r="A6210" s="7" t="s">
        <v>11591</v>
      </c>
      <c r="B6210" s="8" t="s">
        <v>11592</v>
      </c>
      <c r="C6210" s="8" t="s">
        <v>355</v>
      </c>
      <c r="D6210" s="8" t="str">
        <f>"9783110729085"</f>
        <v>9783110729085</v>
      </c>
    </row>
    <row r="6211" spans="1:4" x14ac:dyDescent="0.25">
      <c r="A6211" s="7" t="s">
        <v>11335</v>
      </c>
      <c r="B6211" s="8" t="s">
        <v>171</v>
      </c>
      <c r="C6211" s="8" t="s">
        <v>355</v>
      </c>
      <c r="D6211" s="8" t="str">
        <f>"9783110731569"</f>
        <v>9783110731569</v>
      </c>
    </row>
    <row r="6212" spans="1:4" x14ac:dyDescent="0.25">
      <c r="A6212" s="7" t="s">
        <v>1300</v>
      </c>
      <c r="B6212" s="8" t="s">
        <v>1301</v>
      </c>
      <c r="C6212" s="8" t="s">
        <v>1224</v>
      </c>
      <c r="D6212" s="8" t="str">
        <f>"9781618111838"</f>
        <v>9781618111838</v>
      </c>
    </row>
    <row r="6213" spans="1:4" x14ac:dyDescent="0.25">
      <c r="A6213" s="7" t="s">
        <v>4782</v>
      </c>
      <c r="B6213" s="8" t="s">
        <v>4783</v>
      </c>
      <c r="C6213" s="8" t="s">
        <v>1879</v>
      </c>
      <c r="D6213" s="8" t="str">
        <f>"9781783748112"</f>
        <v>9781783748112</v>
      </c>
    </row>
    <row r="6214" spans="1:4" ht="30" x14ac:dyDescent="0.25">
      <c r="A6214" s="7" t="s">
        <v>3739</v>
      </c>
      <c r="B6214" s="8" t="s">
        <v>3740</v>
      </c>
      <c r="C6214" s="8" t="s">
        <v>1865</v>
      </c>
      <c r="D6214" s="8" t="str">
        <f>"9789176853214"</f>
        <v>9789176853214</v>
      </c>
    </row>
    <row r="6215" spans="1:4" x14ac:dyDescent="0.25">
      <c r="A6215" s="7" t="s">
        <v>5007</v>
      </c>
      <c r="B6215" s="8" t="s">
        <v>104</v>
      </c>
      <c r="C6215" s="8" t="s">
        <v>355</v>
      </c>
      <c r="D6215" s="8" t="str">
        <f>"9783110637489"</f>
        <v>9783110637489</v>
      </c>
    </row>
    <row r="6216" spans="1:4" x14ac:dyDescent="0.25">
      <c r="A6216" s="7" t="s">
        <v>8890</v>
      </c>
      <c r="B6216" s="8" t="s">
        <v>8891</v>
      </c>
      <c r="C6216" s="8" t="s">
        <v>2273</v>
      </c>
      <c r="D6216" s="8" t="str">
        <f>"9783030785895"</f>
        <v>9783030785895</v>
      </c>
    </row>
    <row r="6217" spans="1:4" ht="30" x14ac:dyDescent="0.25">
      <c r="A6217" s="7" t="s">
        <v>7559</v>
      </c>
      <c r="B6217" s="8" t="s">
        <v>7560</v>
      </c>
      <c r="C6217" s="8" t="s">
        <v>993</v>
      </c>
      <c r="D6217" s="8" t="str">
        <f>"9783839414125"</f>
        <v>9783839414125</v>
      </c>
    </row>
    <row r="6218" spans="1:4" ht="30" x14ac:dyDescent="0.25">
      <c r="A6218" s="7" t="s">
        <v>9331</v>
      </c>
      <c r="B6218" s="8" t="s">
        <v>144</v>
      </c>
      <c r="C6218" s="8" t="s">
        <v>9256</v>
      </c>
      <c r="D6218" s="8" t="str">
        <f>"9788021095526"</f>
        <v>9788021095526</v>
      </c>
    </row>
    <row r="6219" spans="1:4" x14ac:dyDescent="0.25">
      <c r="A6219" s="7" t="s">
        <v>5068</v>
      </c>
      <c r="B6219" s="8" t="s">
        <v>5069</v>
      </c>
      <c r="C6219" s="8" t="s">
        <v>1865</v>
      </c>
      <c r="D6219" s="8" t="str">
        <f>"9789179298418"</f>
        <v>9789179298418</v>
      </c>
    </row>
    <row r="6220" spans="1:4" ht="30" x14ac:dyDescent="0.25">
      <c r="A6220" s="7" t="s">
        <v>8103</v>
      </c>
      <c r="B6220" s="8" t="s">
        <v>8104</v>
      </c>
      <c r="C6220" s="8" t="s">
        <v>2273</v>
      </c>
      <c r="D6220" s="8" t="str">
        <f>"9783030742409"</f>
        <v>9783030742409</v>
      </c>
    </row>
    <row r="6221" spans="1:4" ht="30" x14ac:dyDescent="0.25">
      <c r="A6221" s="7" t="s">
        <v>5830</v>
      </c>
      <c r="B6221" s="8" t="s">
        <v>5831</v>
      </c>
      <c r="C6221" s="8" t="s">
        <v>2273</v>
      </c>
      <c r="D6221" s="8" t="str">
        <f>"9783319137919"</f>
        <v>9783319137919</v>
      </c>
    </row>
    <row r="6222" spans="1:4" x14ac:dyDescent="0.25">
      <c r="A6222" s="7" t="s">
        <v>3251</v>
      </c>
      <c r="B6222" s="8" t="s">
        <v>3252</v>
      </c>
      <c r="C6222" s="8" t="s">
        <v>1865</v>
      </c>
      <c r="D6222" s="8" t="str">
        <f>"9789176854587"</f>
        <v>9789176854587</v>
      </c>
    </row>
    <row r="6223" spans="1:4" x14ac:dyDescent="0.25">
      <c r="A6223" s="7" t="s">
        <v>7583</v>
      </c>
      <c r="B6223" s="8" t="s">
        <v>7514</v>
      </c>
      <c r="C6223" s="8" t="s">
        <v>993</v>
      </c>
      <c r="D6223" s="8" t="str">
        <f>"9783839418529"</f>
        <v>9783839418529</v>
      </c>
    </row>
    <row r="6224" spans="1:4" x14ac:dyDescent="0.25">
      <c r="A6224" s="7" t="s">
        <v>5892</v>
      </c>
      <c r="B6224" s="8" t="s">
        <v>5893</v>
      </c>
      <c r="C6224" s="8" t="s">
        <v>2273</v>
      </c>
      <c r="D6224" s="8" t="str">
        <f>"9783319746968"</f>
        <v>9783319746968</v>
      </c>
    </row>
    <row r="6225" spans="1:4" x14ac:dyDescent="0.25">
      <c r="A6225" s="7" t="s">
        <v>10299</v>
      </c>
      <c r="B6225" s="8" t="s">
        <v>10300</v>
      </c>
      <c r="C6225" s="8" t="s">
        <v>993</v>
      </c>
      <c r="D6225" s="8" t="str">
        <f>"9783839448366"</f>
        <v>9783839448366</v>
      </c>
    </row>
    <row r="6226" spans="1:4" ht="30" x14ac:dyDescent="0.25">
      <c r="A6226" s="7" t="s">
        <v>7456</v>
      </c>
      <c r="B6226" s="8" t="s">
        <v>7457</v>
      </c>
      <c r="C6226" s="8" t="s">
        <v>993</v>
      </c>
      <c r="D6226" s="8" t="str">
        <f>"9783839436912"</f>
        <v>9783839436912</v>
      </c>
    </row>
    <row r="6227" spans="1:4" ht="30" x14ac:dyDescent="0.25">
      <c r="A6227" s="7" t="s">
        <v>14261</v>
      </c>
      <c r="B6227" s="8" t="s">
        <v>14262</v>
      </c>
      <c r="C6227" s="8" t="s">
        <v>5086</v>
      </c>
      <c r="D6227" s="8" t="str">
        <f>"9783658405328"</f>
        <v>9783658405328</v>
      </c>
    </row>
    <row r="6228" spans="1:4" x14ac:dyDescent="0.25">
      <c r="A6228" s="7" t="s">
        <v>6035</v>
      </c>
      <c r="B6228" s="8" t="s">
        <v>6036</v>
      </c>
      <c r="C6228" s="8" t="s">
        <v>2273</v>
      </c>
      <c r="D6228" s="8" t="str">
        <f>"9783319265902"</f>
        <v>9783319265902</v>
      </c>
    </row>
    <row r="6229" spans="1:4" ht="30" x14ac:dyDescent="0.25">
      <c r="A6229" s="7" t="s">
        <v>11764</v>
      </c>
      <c r="B6229" s="8" t="s">
        <v>11765</v>
      </c>
      <c r="C6229" s="8" t="s">
        <v>355</v>
      </c>
      <c r="D6229" s="8" t="str">
        <f>"9783110710595"</f>
        <v>9783110710595</v>
      </c>
    </row>
    <row r="6230" spans="1:4" x14ac:dyDescent="0.25">
      <c r="A6230" s="7" t="s">
        <v>10276</v>
      </c>
      <c r="B6230" s="8" t="s">
        <v>10277</v>
      </c>
      <c r="C6230" s="8" t="s">
        <v>993</v>
      </c>
      <c r="D6230" s="8" t="str">
        <f>"9783839447369"</f>
        <v>9783839447369</v>
      </c>
    </row>
    <row r="6231" spans="1:4" ht="30" x14ac:dyDescent="0.25">
      <c r="A6231" s="7" t="s">
        <v>10677</v>
      </c>
      <c r="B6231" s="8" t="s">
        <v>10678</v>
      </c>
      <c r="C6231" s="8" t="s">
        <v>4882</v>
      </c>
      <c r="D6231" s="8" t="str">
        <f>"9781846313875"</f>
        <v>9781846313875</v>
      </c>
    </row>
    <row r="6232" spans="1:4" ht="30" x14ac:dyDescent="0.25">
      <c r="A6232" s="7" t="s">
        <v>15804</v>
      </c>
      <c r="B6232" s="8" t="s">
        <v>15805</v>
      </c>
      <c r="C6232" s="8" t="s">
        <v>1865</v>
      </c>
      <c r="D6232" s="8" t="str">
        <f>"9789180750059"</f>
        <v>9789180750059</v>
      </c>
    </row>
    <row r="6233" spans="1:4" ht="30" x14ac:dyDescent="0.25">
      <c r="A6233" s="7" t="s">
        <v>10152</v>
      </c>
      <c r="B6233" s="8" t="s">
        <v>87</v>
      </c>
      <c r="C6233" s="8" t="s">
        <v>993</v>
      </c>
      <c r="D6233" s="8" t="str">
        <f>"9783839440827"</f>
        <v>9783839440827</v>
      </c>
    </row>
    <row r="6234" spans="1:4" x14ac:dyDescent="0.25">
      <c r="A6234" s="7" t="s">
        <v>5664</v>
      </c>
      <c r="B6234" s="8" t="s">
        <v>5661</v>
      </c>
      <c r="C6234" s="8" t="s">
        <v>5134</v>
      </c>
      <c r="D6234" s="8" t="str">
        <f>"9783662557051"</f>
        <v>9783662557051</v>
      </c>
    </row>
    <row r="6235" spans="1:4" ht="30" x14ac:dyDescent="0.25">
      <c r="A6235" s="7" t="s">
        <v>8204</v>
      </c>
      <c r="B6235" s="8" t="s">
        <v>8205</v>
      </c>
      <c r="C6235" s="8" t="s">
        <v>993</v>
      </c>
      <c r="D6235" s="8" t="str">
        <f>"9783839440308"</f>
        <v>9783839440308</v>
      </c>
    </row>
    <row r="6236" spans="1:4" ht="30" x14ac:dyDescent="0.25">
      <c r="A6236" s="7" t="s">
        <v>14723</v>
      </c>
      <c r="B6236" s="8" t="s">
        <v>14724</v>
      </c>
      <c r="C6236" s="8" t="s">
        <v>1865</v>
      </c>
      <c r="D6236" s="8" t="str">
        <f>"9789176857700"</f>
        <v>9789176857700</v>
      </c>
    </row>
    <row r="6237" spans="1:4" x14ac:dyDescent="0.25">
      <c r="A6237" s="7" t="s">
        <v>11368</v>
      </c>
      <c r="B6237" s="8" t="s">
        <v>11369</v>
      </c>
      <c r="C6237" s="8" t="s">
        <v>355</v>
      </c>
      <c r="D6237" s="8" t="str">
        <f>"9783111503417"</f>
        <v>9783111503417</v>
      </c>
    </row>
    <row r="6238" spans="1:4" x14ac:dyDescent="0.25">
      <c r="A6238" s="7" t="s">
        <v>3987</v>
      </c>
      <c r="B6238" s="8" t="s">
        <v>3988</v>
      </c>
      <c r="C6238" s="8" t="s">
        <v>1865</v>
      </c>
      <c r="D6238" s="8" t="str">
        <f>"9789176852422"</f>
        <v>9789176852422</v>
      </c>
    </row>
    <row r="6239" spans="1:4" ht="30" x14ac:dyDescent="0.25">
      <c r="A6239" s="7" t="s">
        <v>3782</v>
      </c>
      <c r="B6239" s="8" t="s">
        <v>3783</v>
      </c>
      <c r="C6239" s="8" t="s">
        <v>1865</v>
      </c>
      <c r="D6239" s="8" t="str">
        <f>"9789176852873"</f>
        <v>9789176852873</v>
      </c>
    </row>
    <row r="6240" spans="1:4" ht="30" x14ac:dyDescent="0.25">
      <c r="A6240" s="7" t="s">
        <v>4165</v>
      </c>
      <c r="B6240" s="8" t="s">
        <v>4166</v>
      </c>
      <c r="C6240" s="8" t="s">
        <v>1865</v>
      </c>
      <c r="D6240" s="8" t="str">
        <f>"9789176851975"</f>
        <v>9789176851975</v>
      </c>
    </row>
    <row r="6241" spans="1:4" x14ac:dyDescent="0.25">
      <c r="A6241" s="7" t="s">
        <v>9316</v>
      </c>
      <c r="B6241" s="8" t="s">
        <v>9317</v>
      </c>
      <c r="C6241" s="8" t="s">
        <v>9256</v>
      </c>
      <c r="D6241" s="8" t="str">
        <f>"9788021094888"</f>
        <v>9788021094888</v>
      </c>
    </row>
    <row r="6242" spans="1:4" ht="30" x14ac:dyDescent="0.25">
      <c r="A6242" s="7" t="s">
        <v>6912</v>
      </c>
      <c r="B6242" s="8" t="s">
        <v>6913</v>
      </c>
      <c r="C6242" s="8" t="s">
        <v>1342</v>
      </c>
      <c r="D6242" s="8" t="str">
        <f>"9789633862827"</f>
        <v>9789633862827</v>
      </c>
    </row>
    <row r="6243" spans="1:4" ht="30" x14ac:dyDescent="0.25">
      <c r="A6243" s="7" t="s">
        <v>12612</v>
      </c>
      <c r="B6243" s="8" t="s">
        <v>12613</v>
      </c>
      <c r="C6243" s="8" t="s">
        <v>2273</v>
      </c>
      <c r="D6243" s="8" t="str">
        <f>"9783031158452"</f>
        <v>9783031158452</v>
      </c>
    </row>
    <row r="6244" spans="1:4" x14ac:dyDescent="0.25">
      <c r="A6244" s="7" t="s">
        <v>5293</v>
      </c>
      <c r="B6244" s="8" t="s">
        <v>5294</v>
      </c>
      <c r="C6244" s="8" t="s">
        <v>2273</v>
      </c>
      <c r="D6244" s="8" t="str">
        <f>"9783319280646"</f>
        <v>9783319280646</v>
      </c>
    </row>
    <row r="6245" spans="1:4" x14ac:dyDescent="0.25">
      <c r="A6245" s="7" t="s">
        <v>9850</v>
      </c>
      <c r="B6245" s="8" t="s">
        <v>9788</v>
      </c>
      <c r="C6245" s="8" t="s">
        <v>993</v>
      </c>
      <c r="D6245" s="8" t="str">
        <f>"9783839406618"</f>
        <v>9783839406618</v>
      </c>
    </row>
    <row r="6246" spans="1:4" x14ac:dyDescent="0.25">
      <c r="A6246" s="7" t="s">
        <v>3421</v>
      </c>
      <c r="B6246" s="8" t="s">
        <v>3422</v>
      </c>
      <c r="C6246" s="8" t="s">
        <v>1865</v>
      </c>
      <c r="D6246" s="8" t="str">
        <f>"9789176854297"</f>
        <v>9789176854297</v>
      </c>
    </row>
    <row r="6247" spans="1:4" x14ac:dyDescent="0.25">
      <c r="A6247" s="7" t="s">
        <v>14579</v>
      </c>
      <c r="B6247" s="8" t="s">
        <v>14580</v>
      </c>
      <c r="C6247" s="8" t="s">
        <v>1865</v>
      </c>
      <c r="D6247" s="8" t="str">
        <f>"9789179292522"</f>
        <v>9789179292522</v>
      </c>
    </row>
    <row r="6248" spans="1:4" x14ac:dyDescent="0.25">
      <c r="A6248" s="7" t="s">
        <v>6562</v>
      </c>
      <c r="B6248" s="8" t="s">
        <v>6563</v>
      </c>
      <c r="C6248" s="8" t="s">
        <v>2273</v>
      </c>
      <c r="D6248" s="8" t="str">
        <f>"9783030589165"</f>
        <v>9783030589165</v>
      </c>
    </row>
    <row r="6249" spans="1:4" x14ac:dyDescent="0.25">
      <c r="A6249" s="7" t="s">
        <v>6463</v>
      </c>
      <c r="B6249" s="8" t="s">
        <v>6464</v>
      </c>
      <c r="C6249" s="8" t="s">
        <v>2273</v>
      </c>
      <c r="D6249" s="8" t="str">
        <f>"9783030536978"</f>
        <v>9783030536978</v>
      </c>
    </row>
    <row r="6250" spans="1:4" ht="30" x14ac:dyDescent="0.25">
      <c r="A6250" s="7" t="s">
        <v>16229</v>
      </c>
      <c r="B6250" s="8" t="s">
        <v>16230</v>
      </c>
      <c r="C6250" s="8" t="s">
        <v>1865</v>
      </c>
      <c r="D6250" s="8" t="str">
        <f>"9789175196312"</f>
        <v>9789175196312</v>
      </c>
    </row>
    <row r="6251" spans="1:4" ht="30" x14ac:dyDescent="0.25">
      <c r="A6251" s="7" t="s">
        <v>10977</v>
      </c>
      <c r="B6251" s="8" t="s">
        <v>10978</v>
      </c>
      <c r="C6251" s="8" t="s">
        <v>9138</v>
      </c>
      <c r="D6251" s="8" t="str">
        <f>"9780520972797"</f>
        <v>9780520972797</v>
      </c>
    </row>
    <row r="6252" spans="1:4" x14ac:dyDescent="0.25">
      <c r="A6252" s="7" t="s">
        <v>6281</v>
      </c>
      <c r="B6252" s="8" t="s">
        <v>6282</v>
      </c>
      <c r="C6252" s="8" t="s">
        <v>2273</v>
      </c>
      <c r="D6252" s="8" t="str">
        <f>"9783319238470"</f>
        <v>9783319238470</v>
      </c>
    </row>
    <row r="6253" spans="1:4" ht="30" x14ac:dyDescent="0.25">
      <c r="A6253" s="7" t="s">
        <v>16401</v>
      </c>
      <c r="B6253" s="8" t="s">
        <v>16402</v>
      </c>
      <c r="C6253" s="8" t="s">
        <v>329</v>
      </c>
      <c r="D6253" s="8" t="str">
        <f>"9789048555246"</f>
        <v>9789048555246</v>
      </c>
    </row>
    <row r="6254" spans="1:4" x14ac:dyDescent="0.25">
      <c r="A6254" s="7" t="s">
        <v>10912</v>
      </c>
      <c r="B6254" s="8" t="s">
        <v>778</v>
      </c>
      <c r="C6254" s="8" t="s">
        <v>355</v>
      </c>
      <c r="D6254" s="8" t="str">
        <f>"9783110466133"</f>
        <v>9783110466133</v>
      </c>
    </row>
    <row r="6255" spans="1:4" x14ac:dyDescent="0.25">
      <c r="A6255" s="7" t="s">
        <v>9956</v>
      </c>
      <c r="B6255" s="8" t="s">
        <v>7721</v>
      </c>
      <c r="C6255" s="8" t="s">
        <v>993</v>
      </c>
      <c r="D6255" s="8" t="str">
        <f>"9783839408650"</f>
        <v>9783839408650</v>
      </c>
    </row>
    <row r="6256" spans="1:4" x14ac:dyDescent="0.25">
      <c r="A6256" s="7" t="s">
        <v>9152</v>
      </c>
      <c r="B6256" s="8" t="s">
        <v>9153</v>
      </c>
      <c r="C6256" s="8" t="s">
        <v>1962</v>
      </c>
      <c r="D6256" s="8" t="str">
        <f>"9782759235360"</f>
        <v>9782759235360</v>
      </c>
    </row>
    <row r="6257" spans="1:4" x14ac:dyDescent="0.25">
      <c r="A6257" s="7" t="s">
        <v>13504</v>
      </c>
      <c r="B6257" s="8" t="s">
        <v>13505</v>
      </c>
      <c r="C6257" s="8" t="s">
        <v>2273</v>
      </c>
      <c r="D6257" s="8" t="str">
        <f>"9783030997243"</f>
        <v>9783030997243</v>
      </c>
    </row>
    <row r="6258" spans="1:4" ht="30" x14ac:dyDescent="0.25">
      <c r="A6258" s="7" t="s">
        <v>12346</v>
      </c>
      <c r="B6258" s="8" t="s">
        <v>12347</v>
      </c>
      <c r="C6258" s="8" t="s">
        <v>993</v>
      </c>
      <c r="D6258" s="8" t="str">
        <f>"9783839462324"</f>
        <v>9783839462324</v>
      </c>
    </row>
    <row r="6259" spans="1:4" ht="30" x14ac:dyDescent="0.25">
      <c r="A6259" s="7" t="s">
        <v>9472</v>
      </c>
      <c r="B6259" s="8" t="s">
        <v>9467</v>
      </c>
      <c r="C6259" s="8" t="s">
        <v>2273</v>
      </c>
      <c r="D6259" s="8" t="str">
        <f>"9783030860240"</f>
        <v>9783030860240</v>
      </c>
    </row>
    <row r="6260" spans="1:4" ht="30" x14ac:dyDescent="0.25">
      <c r="A6260" s="7" t="s">
        <v>12203</v>
      </c>
      <c r="B6260" s="8" t="s">
        <v>5097</v>
      </c>
      <c r="C6260" s="8" t="s">
        <v>2273</v>
      </c>
      <c r="D6260" s="8" t="str">
        <f>"9783030939861"</f>
        <v>9783030939861</v>
      </c>
    </row>
    <row r="6261" spans="1:4" x14ac:dyDescent="0.25">
      <c r="A6261" s="7" t="s">
        <v>9888</v>
      </c>
      <c r="B6261" s="8" t="s">
        <v>9889</v>
      </c>
      <c r="C6261" s="8" t="s">
        <v>993</v>
      </c>
      <c r="D6261" s="8" t="str">
        <f>"9783839407523"</f>
        <v>9783839407523</v>
      </c>
    </row>
    <row r="6262" spans="1:4" ht="30" x14ac:dyDescent="0.25">
      <c r="A6262" s="7" t="s">
        <v>8481</v>
      </c>
      <c r="B6262" s="8" t="s">
        <v>8482</v>
      </c>
      <c r="C6262" s="8" t="s">
        <v>993</v>
      </c>
      <c r="D6262" s="8" t="str">
        <f>"9783839450727"</f>
        <v>9783839450727</v>
      </c>
    </row>
    <row r="6263" spans="1:4" x14ac:dyDescent="0.25">
      <c r="A6263" s="7" t="s">
        <v>11103</v>
      </c>
      <c r="B6263" s="8" t="s">
        <v>11104</v>
      </c>
      <c r="C6263" s="8" t="s">
        <v>2082</v>
      </c>
      <c r="D6263" s="8" t="str">
        <f>"9780472900992"</f>
        <v>9780472900992</v>
      </c>
    </row>
    <row r="6264" spans="1:4" x14ac:dyDescent="0.25">
      <c r="A6264" s="7" t="s">
        <v>10811</v>
      </c>
      <c r="B6264" s="8" t="s">
        <v>10812</v>
      </c>
      <c r="C6264" s="8" t="s">
        <v>1876</v>
      </c>
      <c r="D6264" s="8" t="str">
        <f>"9781925523256"</f>
        <v>9781925523256</v>
      </c>
    </row>
    <row r="6265" spans="1:4" ht="30" x14ac:dyDescent="0.25">
      <c r="A6265" s="7" t="s">
        <v>10625</v>
      </c>
      <c r="B6265" s="8" t="s">
        <v>10626</v>
      </c>
      <c r="C6265" s="8" t="s">
        <v>2273</v>
      </c>
      <c r="D6265" s="8" t="str">
        <f>"9783030866006"</f>
        <v>9783030866006</v>
      </c>
    </row>
    <row r="6266" spans="1:4" x14ac:dyDescent="0.25">
      <c r="A6266" s="7" t="s">
        <v>424</v>
      </c>
      <c r="B6266" s="8" t="s">
        <v>425</v>
      </c>
      <c r="C6266" s="8" t="s">
        <v>227</v>
      </c>
      <c r="D6266" s="8" t="str">
        <f>"9781847790989"</f>
        <v>9781847790989</v>
      </c>
    </row>
    <row r="6267" spans="1:4" x14ac:dyDescent="0.25">
      <c r="A6267" s="7" t="s">
        <v>14816</v>
      </c>
      <c r="B6267" s="8" t="s">
        <v>14817</v>
      </c>
      <c r="C6267" s="8" t="s">
        <v>1865</v>
      </c>
      <c r="D6267" s="8" t="str">
        <f>"9789176855980"</f>
        <v>9789176855980</v>
      </c>
    </row>
    <row r="6268" spans="1:4" ht="30" x14ac:dyDescent="0.25">
      <c r="A6268" s="7" t="s">
        <v>10005</v>
      </c>
      <c r="B6268" s="8" t="s">
        <v>10006</v>
      </c>
      <c r="C6268" s="8" t="s">
        <v>993</v>
      </c>
      <c r="D6268" s="8" t="str">
        <f>"9783839409886"</f>
        <v>9783839409886</v>
      </c>
    </row>
    <row r="6269" spans="1:4" ht="30" x14ac:dyDescent="0.25">
      <c r="A6269" s="7" t="s">
        <v>10659</v>
      </c>
      <c r="B6269" s="8" t="s">
        <v>10660</v>
      </c>
      <c r="C6269" s="8" t="s">
        <v>2273</v>
      </c>
      <c r="D6269" s="8" t="str">
        <f>"9783030952662"</f>
        <v>9783030952662</v>
      </c>
    </row>
    <row r="6270" spans="1:4" x14ac:dyDescent="0.25">
      <c r="A6270" s="7" t="s">
        <v>13485</v>
      </c>
      <c r="B6270" s="8" t="s">
        <v>13486</v>
      </c>
      <c r="C6270" s="8" t="s">
        <v>2273</v>
      </c>
      <c r="D6270" s="8" t="str">
        <f>"9783031147104"</f>
        <v>9783031147104</v>
      </c>
    </row>
    <row r="6271" spans="1:4" ht="30" x14ac:dyDescent="0.25">
      <c r="A6271" s="7" t="s">
        <v>14146</v>
      </c>
      <c r="B6271" s="8" t="s">
        <v>14147</v>
      </c>
      <c r="C6271" s="8" t="s">
        <v>2274</v>
      </c>
      <c r="D6271" s="8" t="str">
        <f>"9783031246517"</f>
        <v>9783031246517</v>
      </c>
    </row>
    <row r="6272" spans="1:4" x14ac:dyDescent="0.25">
      <c r="A6272" s="7" t="s">
        <v>11636</v>
      </c>
      <c r="B6272" s="8" t="s">
        <v>11637</v>
      </c>
      <c r="C6272" s="8" t="s">
        <v>355</v>
      </c>
      <c r="D6272" s="8" t="str">
        <f>"9783110691597"</f>
        <v>9783110691597</v>
      </c>
    </row>
    <row r="6273" spans="1:4" ht="30" x14ac:dyDescent="0.25">
      <c r="A6273" s="7" t="s">
        <v>3019</v>
      </c>
      <c r="B6273" s="8" t="s">
        <v>3020</v>
      </c>
      <c r="C6273" s="8" t="s">
        <v>1345</v>
      </c>
      <c r="D6273" s="8" t="str">
        <f>"9783737602471"</f>
        <v>9783737602471</v>
      </c>
    </row>
    <row r="6274" spans="1:4" x14ac:dyDescent="0.25">
      <c r="A6274" s="7" t="s">
        <v>6815</v>
      </c>
      <c r="B6274" s="8" t="s">
        <v>6816</v>
      </c>
      <c r="C6274" s="8" t="s">
        <v>1962</v>
      </c>
      <c r="D6274" s="8" t="str">
        <f>"9782759232789"</f>
        <v>9782759232789</v>
      </c>
    </row>
    <row r="6275" spans="1:4" ht="30" x14ac:dyDescent="0.25">
      <c r="A6275" s="7" t="s">
        <v>1967</v>
      </c>
      <c r="B6275" s="8" t="s">
        <v>1968</v>
      </c>
      <c r="C6275" s="8" t="s">
        <v>1962</v>
      </c>
      <c r="D6275" s="8" t="str">
        <f>"9782759207077"</f>
        <v>9782759207077</v>
      </c>
    </row>
    <row r="6276" spans="1:4" x14ac:dyDescent="0.25">
      <c r="A6276" s="7" t="s">
        <v>387</v>
      </c>
      <c r="B6276" s="8" t="s">
        <v>235</v>
      </c>
      <c r="C6276" s="8" t="s">
        <v>227</v>
      </c>
      <c r="D6276" s="8" t="str">
        <f>"9781847791054"</f>
        <v>9781847791054</v>
      </c>
    </row>
    <row r="6277" spans="1:4" x14ac:dyDescent="0.25">
      <c r="A6277" s="7" t="s">
        <v>16218</v>
      </c>
      <c r="B6277" s="8" t="s">
        <v>16219</v>
      </c>
      <c r="C6277" s="8" t="s">
        <v>1865</v>
      </c>
      <c r="D6277" s="8" t="str">
        <f>"9789175196640"</f>
        <v>9789175196640</v>
      </c>
    </row>
    <row r="6278" spans="1:4" x14ac:dyDescent="0.25">
      <c r="A6278" s="7" t="s">
        <v>16239</v>
      </c>
      <c r="B6278" s="8" t="s">
        <v>16240</v>
      </c>
      <c r="C6278" s="8" t="s">
        <v>1865</v>
      </c>
      <c r="D6278" s="8" t="str">
        <f>"9789175198040"</f>
        <v>9789175198040</v>
      </c>
    </row>
    <row r="6279" spans="1:4" ht="30" x14ac:dyDescent="0.25">
      <c r="A6279" s="7" t="s">
        <v>15185</v>
      </c>
      <c r="B6279" s="8" t="s">
        <v>15186</v>
      </c>
      <c r="C6279" s="8" t="s">
        <v>1865</v>
      </c>
      <c r="D6279" s="8" t="str">
        <f>"9789175196824"</f>
        <v>9789175196824</v>
      </c>
    </row>
    <row r="6280" spans="1:4" ht="30" x14ac:dyDescent="0.25">
      <c r="A6280" s="7" t="s">
        <v>6512</v>
      </c>
      <c r="B6280" s="8" t="s">
        <v>6513</v>
      </c>
      <c r="C6280" s="8" t="s">
        <v>2273</v>
      </c>
      <c r="D6280" s="8" t="str">
        <f>"9783030644925"</f>
        <v>9783030644925</v>
      </c>
    </row>
    <row r="6281" spans="1:4" ht="30" x14ac:dyDescent="0.25">
      <c r="A6281" s="7" t="s">
        <v>4691</v>
      </c>
      <c r="B6281" s="8" t="s">
        <v>4692</v>
      </c>
      <c r="C6281" s="8" t="s">
        <v>1865</v>
      </c>
      <c r="D6281" s="8" t="str">
        <f>"9789179299873"</f>
        <v>9789179299873</v>
      </c>
    </row>
    <row r="6282" spans="1:4" ht="30" x14ac:dyDescent="0.25">
      <c r="A6282" s="7" t="s">
        <v>14711</v>
      </c>
      <c r="B6282" s="8" t="s">
        <v>14712</v>
      </c>
      <c r="C6282" s="8" t="s">
        <v>1865</v>
      </c>
      <c r="D6282" s="8" t="str">
        <f>"9789179293581"</f>
        <v>9789179293581</v>
      </c>
    </row>
    <row r="6283" spans="1:4" x14ac:dyDescent="0.25">
      <c r="A6283" s="7" t="s">
        <v>9638</v>
      </c>
      <c r="B6283" s="8" t="s">
        <v>9639</v>
      </c>
      <c r="C6283" s="8" t="s">
        <v>2273</v>
      </c>
      <c r="D6283" s="8" t="str">
        <f>"9783030942120"</f>
        <v>9783030942120</v>
      </c>
    </row>
    <row r="6284" spans="1:4" x14ac:dyDescent="0.25">
      <c r="A6284" s="7" t="s">
        <v>3590</v>
      </c>
      <c r="B6284" s="8" t="s">
        <v>3591</v>
      </c>
      <c r="C6284" s="8" t="s">
        <v>1865</v>
      </c>
      <c r="D6284" s="8" t="str">
        <f>"9789176853405"</f>
        <v>9789176853405</v>
      </c>
    </row>
    <row r="6285" spans="1:4" x14ac:dyDescent="0.25">
      <c r="A6285" s="7" t="s">
        <v>16384</v>
      </c>
      <c r="B6285" s="8" t="s">
        <v>16385</v>
      </c>
      <c r="C6285" s="8" t="s">
        <v>1865</v>
      </c>
      <c r="D6285" s="8" t="str">
        <f>"9789175191584"</f>
        <v>9789175191584</v>
      </c>
    </row>
    <row r="6286" spans="1:4" ht="30" x14ac:dyDescent="0.25">
      <c r="A6286" s="7" t="s">
        <v>10923</v>
      </c>
      <c r="B6286" s="8" t="s">
        <v>3714</v>
      </c>
      <c r="C6286" s="8" t="s">
        <v>355</v>
      </c>
      <c r="D6286" s="8" t="str">
        <f>"9783110523300"</f>
        <v>9783110523300</v>
      </c>
    </row>
    <row r="6287" spans="1:4" x14ac:dyDescent="0.25">
      <c r="A6287" s="7" t="s">
        <v>5246</v>
      </c>
      <c r="B6287" s="8" t="s">
        <v>5247</v>
      </c>
      <c r="C6287" s="8" t="s">
        <v>1865</v>
      </c>
      <c r="D6287" s="8" t="str">
        <f>"9789179297893"</f>
        <v>9789179297893</v>
      </c>
    </row>
    <row r="6288" spans="1:4" x14ac:dyDescent="0.25">
      <c r="A6288" s="7" t="s">
        <v>13602</v>
      </c>
      <c r="B6288" s="8" t="s">
        <v>13603</v>
      </c>
      <c r="C6288" s="8" t="s">
        <v>2273</v>
      </c>
      <c r="D6288" s="8" t="str">
        <f>"9783031118142"</f>
        <v>9783031118142</v>
      </c>
    </row>
    <row r="6289" spans="1:4" x14ac:dyDescent="0.25">
      <c r="A6289" s="7" t="s">
        <v>4960</v>
      </c>
      <c r="B6289" s="8" t="s">
        <v>4961</v>
      </c>
      <c r="C6289" s="8" t="s">
        <v>1865</v>
      </c>
      <c r="D6289" s="8" t="str">
        <f>"9789179298807"</f>
        <v>9789179298807</v>
      </c>
    </row>
    <row r="6290" spans="1:4" x14ac:dyDescent="0.25">
      <c r="A6290" s="7" t="s">
        <v>5422</v>
      </c>
      <c r="B6290" s="8" t="s">
        <v>5423</v>
      </c>
      <c r="C6290" s="8" t="s">
        <v>2273</v>
      </c>
      <c r="D6290" s="8" t="str">
        <f>"9783319295589"</f>
        <v>9783319295589</v>
      </c>
    </row>
    <row r="6291" spans="1:4" x14ac:dyDescent="0.25">
      <c r="A6291" s="7" t="s">
        <v>3788</v>
      </c>
      <c r="B6291" s="8" t="s">
        <v>3789</v>
      </c>
      <c r="C6291" s="8" t="s">
        <v>1865</v>
      </c>
      <c r="D6291" s="8" t="str">
        <f>"9789176853337"</f>
        <v>9789176853337</v>
      </c>
    </row>
    <row r="6292" spans="1:4" x14ac:dyDescent="0.25">
      <c r="A6292" s="7" t="s">
        <v>6651</v>
      </c>
      <c r="B6292" s="8" t="s">
        <v>6652</v>
      </c>
      <c r="C6292" s="8" t="s">
        <v>2273</v>
      </c>
      <c r="D6292" s="8" t="str">
        <f>"9783030616014"</f>
        <v>9783030616014</v>
      </c>
    </row>
    <row r="6293" spans="1:4" x14ac:dyDescent="0.25">
      <c r="A6293" s="7" t="s">
        <v>15749</v>
      </c>
      <c r="B6293" s="8" t="s">
        <v>15750</v>
      </c>
      <c r="C6293" s="8" t="s">
        <v>1865</v>
      </c>
      <c r="D6293" s="8" t="str">
        <f>"9789176855621"</f>
        <v>9789176855621</v>
      </c>
    </row>
    <row r="6294" spans="1:4" x14ac:dyDescent="0.25">
      <c r="A6294" s="7" t="s">
        <v>2327</v>
      </c>
      <c r="B6294" s="8" t="s">
        <v>2264</v>
      </c>
      <c r="C6294" s="8" t="s">
        <v>316</v>
      </c>
      <c r="D6294" s="8" t="str">
        <f>"9783110406542"</f>
        <v>9783110406542</v>
      </c>
    </row>
    <row r="6295" spans="1:4" x14ac:dyDescent="0.25">
      <c r="A6295" s="7" t="s">
        <v>7300</v>
      </c>
      <c r="B6295" s="8" t="s">
        <v>7301</v>
      </c>
      <c r="C6295" s="8" t="s">
        <v>2273</v>
      </c>
      <c r="D6295" s="8" t="str">
        <f>"9783030566944"</f>
        <v>9783030566944</v>
      </c>
    </row>
    <row r="6296" spans="1:4" x14ac:dyDescent="0.25">
      <c r="A6296" s="7" t="s">
        <v>9495</v>
      </c>
      <c r="B6296" s="8" t="s">
        <v>9496</v>
      </c>
      <c r="C6296" s="8" t="s">
        <v>562</v>
      </c>
      <c r="D6296" s="8" t="str">
        <f>"9781478090083"</f>
        <v>9781478090083</v>
      </c>
    </row>
    <row r="6297" spans="1:4" x14ac:dyDescent="0.25">
      <c r="A6297" s="7" t="s">
        <v>12253</v>
      </c>
      <c r="B6297" s="8" t="s">
        <v>12254</v>
      </c>
      <c r="C6297" s="8" t="s">
        <v>993</v>
      </c>
      <c r="D6297" s="8" t="str">
        <f>"9783839450604"</f>
        <v>9783839450604</v>
      </c>
    </row>
    <row r="6298" spans="1:4" x14ac:dyDescent="0.25">
      <c r="A6298" s="7" t="s">
        <v>2880</v>
      </c>
      <c r="B6298" s="8" t="s">
        <v>2881</v>
      </c>
      <c r="C6298" s="8" t="s">
        <v>1865</v>
      </c>
      <c r="D6298" s="8" t="str">
        <f>"9789176856536"</f>
        <v>9789176856536</v>
      </c>
    </row>
    <row r="6299" spans="1:4" x14ac:dyDescent="0.25">
      <c r="A6299" s="7" t="s">
        <v>13701</v>
      </c>
      <c r="B6299" s="8" t="s">
        <v>13702</v>
      </c>
      <c r="C6299" s="8" t="s">
        <v>993</v>
      </c>
      <c r="D6299" s="8" t="str">
        <f>"9783839461891"</f>
        <v>9783839461891</v>
      </c>
    </row>
    <row r="6300" spans="1:4" ht="30" x14ac:dyDescent="0.25">
      <c r="A6300" s="7" t="s">
        <v>10438</v>
      </c>
      <c r="B6300" s="8" t="s">
        <v>10439</v>
      </c>
      <c r="C6300" s="8" t="s">
        <v>993</v>
      </c>
      <c r="D6300" s="8" t="str">
        <f>"9783839456767"</f>
        <v>9783839456767</v>
      </c>
    </row>
    <row r="6301" spans="1:4" ht="30" x14ac:dyDescent="0.25">
      <c r="A6301" s="7" t="s">
        <v>7856</v>
      </c>
      <c r="B6301" s="8" t="s">
        <v>7857</v>
      </c>
      <c r="C6301" s="8" t="s">
        <v>2273</v>
      </c>
      <c r="D6301" s="8" t="str">
        <f>"9783030694418"</f>
        <v>9783030694418</v>
      </c>
    </row>
    <row r="6302" spans="1:4" ht="30" x14ac:dyDescent="0.25">
      <c r="A6302" s="7" t="s">
        <v>7999</v>
      </c>
      <c r="B6302" s="8" t="s">
        <v>8000</v>
      </c>
      <c r="C6302" s="8" t="s">
        <v>1962</v>
      </c>
      <c r="D6302" s="8" t="str">
        <f>"9782759231331"</f>
        <v>9782759231331</v>
      </c>
    </row>
    <row r="6303" spans="1:4" x14ac:dyDescent="0.25">
      <c r="A6303" s="7" t="s">
        <v>13548</v>
      </c>
      <c r="B6303" s="8" t="s">
        <v>13549</v>
      </c>
      <c r="C6303" s="8" t="s">
        <v>2274</v>
      </c>
      <c r="D6303" s="8" t="str">
        <f>"9789811955914"</f>
        <v>9789811955914</v>
      </c>
    </row>
    <row r="6304" spans="1:4" ht="30" x14ac:dyDescent="0.25">
      <c r="A6304" s="7" t="s">
        <v>10623</v>
      </c>
      <c r="B6304" s="8" t="s">
        <v>10624</v>
      </c>
      <c r="C6304" s="8" t="s">
        <v>2273</v>
      </c>
      <c r="D6304" s="8" t="str">
        <f>"9783030942731"</f>
        <v>9783030942731</v>
      </c>
    </row>
    <row r="6305" spans="1:4" x14ac:dyDescent="0.25">
      <c r="A6305" s="7" t="s">
        <v>3940</v>
      </c>
      <c r="B6305" s="8" t="s">
        <v>3941</v>
      </c>
      <c r="C6305" s="8" t="s">
        <v>355</v>
      </c>
      <c r="D6305" s="8" t="str">
        <f>"9783110472172"</f>
        <v>9783110472172</v>
      </c>
    </row>
    <row r="6306" spans="1:4" ht="30" x14ac:dyDescent="0.25">
      <c r="A6306" s="7" t="s">
        <v>7714</v>
      </c>
      <c r="B6306" s="8" t="s">
        <v>7715</v>
      </c>
      <c r="C6306" s="8" t="s">
        <v>993</v>
      </c>
      <c r="D6306" s="8" t="str">
        <f>"9783839431207"</f>
        <v>9783839431207</v>
      </c>
    </row>
    <row r="6307" spans="1:4" x14ac:dyDescent="0.25">
      <c r="A6307" s="7" t="s">
        <v>9507</v>
      </c>
      <c r="B6307" s="8" t="s">
        <v>9508</v>
      </c>
      <c r="C6307" s="8" t="s">
        <v>4245</v>
      </c>
      <c r="D6307" s="8" t="str">
        <f>"9789811697975"</f>
        <v>9789811697975</v>
      </c>
    </row>
    <row r="6308" spans="1:4" x14ac:dyDescent="0.25">
      <c r="A6308" s="7" t="s">
        <v>6106</v>
      </c>
      <c r="B6308" s="8" t="s">
        <v>203</v>
      </c>
      <c r="C6308" s="8" t="s">
        <v>2273</v>
      </c>
      <c r="D6308" s="8" t="str">
        <f>"9783319544632"</f>
        <v>9783319544632</v>
      </c>
    </row>
    <row r="6309" spans="1:4" x14ac:dyDescent="0.25">
      <c r="A6309" s="7" t="s">
        <v>244</v>
      </c>
      <c r="B6309" s="8" t="s">
        <v>245</v>
      </c>
      <c r="C6309" s="8" t="s">
        <v>227</v>
      </c>
      <c r="D6309" s="8" t="str">
        <f>"9781847790477"</f>
        <v>9781847790477</v>
      </c>
    </row>
    <row r="6310" spans="1:4" x14ac:dyDescent="0.25">
      <c r="A6310" s="7" t="s">
        <v>4105</v>
      </c>
      <c r="B6310" s="8" t="s">
        <v>4106</v>
      </c>
      <c r="C6310" s="8" t="s">
        <v>2073</v>
      </c>
      <c r="D6310" s="8" t="str">
        <f>"9781438471327"</f>
        <v>9781438471327</v>
      </c>
    </row>
    <row r="6311" spans="1:4" x14ac:dyDescent="0.25">
      <c r="A6311" s="7" t="s">
        <v>9188</v>
      </c>
      <c r="B6311" s="8" t="s">
        <v>9189</v>
      </c>
      <c r="C6311" s="8" t="s">
        <v>4882</v>
      </c>
      <c r="D6311" s="8" t="str">
        <f>"9781781388624"</f>
        <v>9781781388624</v>
      </c>
    </row>
    <row r="6312" spans="1:4" x14ac:dyDescent="0.25">
      <c r="A6312" s="7" t="s">
        <v>10153</v>
      </c>
      <c r="B6312" s="8" t="s">
        <v>10154</v>
      </c>
      <c r="C6312" s="8" t="s">
        <v>993</v>
      </c>
      <c r="D6312" s="8" t="str">
        <f>"9783839441459"</f>
        <v>9783839441459</v>
      </c>
    </row>
    <row r="6313" spans="1:4" ht="30" x14ac:dyDescent="0.25">
      <c r="A6313" s="7" t="s">
        <v>14991</v>
      </c>
      <c r="B6313" s="8" t="s">
        <v>14992</v>
      </c>
      <c r="C6313" s="8" t="s">
        <v>1865</v>
      </c>
      <c r="D6313" s="8" t="str">
        <f>"9789176858509"</f>
        <v>9789176858509</v>
      </c>
    </row>
    <row r="6314" spans="1:4" x14ac:dyDescent="0.25">
      <c r="A6314" s="7" t="s">
        <v>5952</v>
      </c>
      <c r="B6314" s="8" t="s">
        <v>5953</v>
      </c>
      <c r="C6314" s="8" t="s">
        <v>5107</v>
      </c>
      <c r="D6314" s="8" t="str">
        <f>"9784431545835"</f>
        <v>9784431545835</v>
      </c>
    </row>
    <row r="6315" spans="1:4" x14ac:dyDescent="0.25">
      <c r="A6315" s="7" t="s">
        <v>9062</v>
      </c>
      <c r="B6315" s="8" t="s">
        <v>9063</v>
      </c>
      <c r="C6315" s="8" t="s">
        <v>562</v>
      </c>
      <c r="D6315" s="8" t="str">
        <f>"9781478091813"</f>
        <v>9781478091813</v>
      </c>
    </row>
    <row r="6316" spans="1:4" ht="30" x14ac:dyDescent="0.25">
      <c r="A6316" s="7" t="s">
        <v>8475</v>
      </c>
      <c r="B6316" s="8" t="s">
        <v>8476</v>
      </c>
      <c r="C6316" s="8" t="s">
        <v>993</v>
      </c>
      <c r="D6316" s="8" t="str">
        <f>"9783839456484"</f>
        <v>9783839456484</v>
      </c>
    </row>
    <row r="6317" spans="1:4" x14ac:dyDescent="0.25">
      <c r="A6317" s="7" t="s">
        <v>10146</v>
      </c>
      <c r="B6317" s="8" t="s">
        <v>10147</v>
      </c>
      <c r="C6317" s="8" t="s">
        <v>993</v>
      </c>
      <c r="D6317" s="8" t="str">
        <f>"9783839440469"</f>
        <v>9783839440469</v>
      </c>
    </row>
    <row r="6318" spans="1:4" x14ac:dyDescent="0.25">
      <c r="A6318" s="7" t="s">
        <v>15068</v>
      </c>
      <c r="B6318" s="8" t="s">
        <v>4358</v>
      </c>
      <c r="C6318" s="8" t="s">
        <v>1865</v>
      </c>
      <c r="D6318" s="8" t="str">
        <f>"9789175192772"</f>
        <v>9789175192772</v>
      </c>
    </row>
    <row r="6319" spans="1:4" x14ac:dyDescent="0.25">
      <c r="A6319" s="7" t="s">
        <v>4357</v>
      </c>
      <c r="B6319" s="8" t="s">
        <v>4358</v>
      </c>
      <c r="C6319" s="8" t="s">
        <v>1865</v>
      </c>
      <c r="D6319" s="8" t="str">
        <f>"9789176851258"</f>
        <v>9789176851258</v>
      </c>
    </row>
    <row r="6320" spans="1:4" x14ac:dyDescent="0.25">
      <c r="A6320" s="7" t="s">
        <v>5654</v>
      </c>
      <c r="B6320" s="8" t="s">
        <v>5655</v>
      </c>
      <c r="C6320" s="8" t="s">
        <v>5107</v>
      </c>
      <c r="D6320" s="8" t="str">
        <f>"9784431558484"</f>
        <v>9784431558484</v>
      </c>
    </row>
    <row r="6321" spans="1:4" x14ac:dyDescent="0.25">
      <c r="A6321" s="7" t="s">
        <v>6664</v>
      </c>
      <c r="B6321" s="8" t="s">
        <v>6665</v>
      </c>
      <c r="C6321" s="8" t="s">
        <v>1865</v>
      </c>
      <c r="D6321" s="8" t="str">
        <f>"9789179296841"</f>
        <v>9789179296841</v>
      </c>
    </row>
    <row r="6322" spans="1:4" x14ac:dyDescent="0.25">
      <c r="A6322" s="7" t="s">
        <v>5342</v>
      </c>
      <c r="B6322" s="8" t="s">
        <v>5343</v>
      </c>
      <c r="C6322" s="8" t="s">
        <v>2273</v>
      </c>
      <c r="D6322" s="8" t="str">
        <f>"9783319574967"</f>
        <v>9783319574967</v>
      </c>
    </row>
    <row r="6323" spans="1:4" ht="30" x14ac:dyDescent="0.25">
      <c r="A6323" s="7" t="s">
        <v>4056</v>
      </c>
      <c r="B6323" s="8" t="s">
        <v>4057</v>
      </c>
      <c r="C6323" s="8" t="s">
        <v>1865</v>
      </c>
      <c r="D6323" s="8" t="str">
        <f>"9789176852347"</f>
        <v>9789176852347</v>
      </c>
    </row>
    <row r="6324" spans="1:4" ht="30" x14ac:dyDescent="0.25">
      <c r="A6324" s="7" t="s">
        <v>2009</v>
      </c>
      <c r="B6324" s="8" t="s">
        <v>2010</v>
      </c>
      <c r="C6324" s="8" t="s">
        <v>1962</v>
      </c>
      <c r="D6324" s="8" t="str">
        <f>"9782759207190"</f>
        <v>9782759207190</v>
      </c>
    </row>
    <row r="6325" spans="1:4" x14ac:dyDescent="0.25">
      <c r="A6325" s="7" t="s">
        <v>5678</v>
      </c>
      <c r="B6325" s="8" t="s">
        <v>5679</v>
      </c>
      <c r="C6325" s="8" t="s">
        <v>2273</v>
      </c>
      <c r="D6325" s="8" t="str">
        <f>"9783319137551"</f>
        <v>9783319137551</v>
      </c>
    </row>
    <row r="6326" spans="1:4" x14ac:dyDescent="0.25">
      <c r="A6326" s="7" t="s">
        <v>3565</v>
      </c>
      <c r="B6326" s="8" t="s">
        <v>3566</v>
      </c>
      <c r="C6326" s="8" t="s">
        <v>562</v>
      </c>
      <c r="D6326" s="8" t="str">
        <f>"9780822372165"</f>
        <v>9780822372165</v>
      </c>
    </row>
    <row r="6327" spans="1:4" x14ac:dyDescent="0.25">
      <c r="A6327" s="7" t="s">
        <v>759</v>
      </c>
      <c r="B6327" s="8" t="s">
        <v>760</v>
      </c>
      <c r="C6327" s="8" t="s">
        <v>355</v>
      </c>
      <c r="D6327" s="8" t="str">
        <f>"9788376560267"</f>
        <v>9788376560267</v>
      </c>
    </row>
    <row r="6328" spans="1:4" x14ac:dyDescent="0.25">
      <c r="A6328" s="7" t="s">
        <v>9835</v>
      </c>
      <c r="B6328" s="8" t="s">
        <v>9836</v>
      </c>
      <c r="C6328" s="8" t="s">
        <v>993</v>
      </c>
      <c r="D6328" s="8" t="str">
        <f>"9783839406083"</f>
        <v>9783839406083</v>
      </c>
    </row>
    <row r="6329" spans="1:4" ht="30" x14ac:dyDescent="0.25">
      <c r="A6329" s="7" t="s">
        <v>3441</v>
      </c>
      <c r="B6329" s="8" t="s">
        <v>3442</v>
      </c>
      <c r="C6329" s="8" t="s">
        <v>1345</v>
      </c>
      <c r="D6329" s="8" t="str">
        <f>"9783737603911"</f>
        <v>9783737603911</v>
      </c>
    </row>
    <row r="6330" spans="1:4" ht="30" x14ac:dyDescent="0.25">
      <c r="A6330" s="7" t="s">
        <v>9726</v>
      </c>
      <c r="B6330" s="8" t="s">
        <v>9727</v>
      </c>
      <c r="C6330" s="8" t="s">
        <v>993</v>
      </c>
      <c r="D6330" s="8" t="str">
        <f>"9783839402900"</f>
        <v>9783839402900</v>
      </c>
    </row>
    <row r="6331" spans="1:4" x14ac:dyDescent="0.25">
      <c r="A6331" s="7" t="s">
        <v>13545</v>
      </c>
      <c r="B6331" s="8" t="s">
        <v>13546</v>
      </c>
      <c r="C6331" s="8" t="s">
        <v>5086</v>
      </c>
      <c r="D6331" s="8" t="str">
        <f>"9783658371333"</f>
        <v>9783658371333</v>
      </c>
    </row>
    <row r="6332" spans="1:4" ht="30" x14ac:dyDescent="0.25">
      <c r="A6332" s="7" t="s">
        <v>10512</v>
      </c>
      <c r="B6332" s="8" t="s">
        <v>10513</v>
      </c>
      <c r="C6332" s="8" t="s">
        <v>993</v>
      </c>
      <c r="D6332" s="8" t="str">
        <f>"9783839458631"</f>
        <v>9783839458631</v>
      </c>
    </row>
    <row r="6333" spans="1:4" ht="30" x14ac:dyDescent="0.25">
      <c r="A6333" s="7" t="s">
        <v>1805</v>
      </c>
      <c r="B6333" s="8" t="s">
        <v>1806</v>
      </c>
      <c r="C6333" s="8" t="s">
        <v>1345</v>
      </c>
      <c r="D6333" s="8" t="str">
        <f>"9783862197255"</f>
        <v>9783862197255</v>
      </c>
    </row>
    <row r="6334" spans="1:4" ht="30" x14ac:dyDescent="0.25">
      <c r="A6334" s="7" t="s">
        <v>1834</v>
      </c>
      <c r="B6334" s="8" t="s">
        <v>1835</v>
      </c>
      <c r="C6334" s="8" t="s">
        <v>1345</v>
      </c>
      <c r="D6334" s="8" t="str">
        <f>"9783862198313"</f>
        <v>9783862198313</v>
      </c>
    </row>
    <row r="6335" spans="1:4" x14ac:dyDescent="0.25">
      <c r="A6335" s="7" t="s">
        <v>2250</v>
      </c>
      <c r="B6335" s="8" t="s">
        <v>2251</v>
      </c>
      <c r="C6335" s="8" t="s">
        <v>355</v>
      </c>
      <c r="D6335" s="8" t="str">
        <f>"9788376560793"</f>
        <v>9788376560793</v>
      </c>
    </row>
    <row r="6336" spans="1:4" x14ac:dyDescent="0.25">
      <c r="A6336" s="7" t="s">
        <v>2829</v>
      </c>
      <c r="B6336" s="8" t="s">
        <v>2830</v>
      </c>
      <c r="C6336" s="8" t="s">
        <v>1332</v>
      </c>
      <c r="D6336" s="8" t="str">
        <f>"9781780406862"</f>
        <v>9781780406862</v>
      </c>
    </row>
    <row r="6337" spans="1:4" x14ac:dyDescent="0.25">
      <c r="A6337" s="7" t="s">
        <v>11791</v>
      </c>
      <c r="B6337" s="8" t="s">
        <v>11792</v>
      </c>
      <c r="C6337" s="8" t="s">
        <v>355</v>
      </c>
      <c r="D6337" s="8" t="str">
        <f>"9783110600261"</f>
        <v>9783110600261</v>
      </c>
    </row>
    <row r="6338" spans="1:4" ht="30" x14ac:dyDescent="0.25">
      <c r="A6338" s="7" t="s">
        <v>12768</v>
      </c>
      <c r="B6338" s="8" t="s">
        <v>12720</v>
      </c>
      <c r="C6338" s="8" t="s">
        <v>12712</v>
      </c>
      <c r="D6338" s="8" t="str">
        <f>"9783428417124"</f>
        <v>9783428417124</v>
      </c>
    </row>
    <row r="6339" spans="1:4" x14ac:dyDescent="0.25">
      <c r="A6339" s="7" t="s">
        <v>12802</v>
      </c>
      <c r="B6339" s="8" t="s">
        <v>12803</v>
      </c>
      <c r="C6339" s="8" t="s">
        <v>12712</v>
      </c>
      <c r="D6339" s="8" t="str">
        <f>"9783428425235"</f>
        <v>9783428425235</v>
      </c>
    </row>
    <row r="6340" spans="1:4" x14ac:dyDescent="0.25">
      <c r="A6340" s="7" t="s">
        <v>12832</v>
      </c>
      <c r="B6340" s="8" t="s">
        <v>12833</v>
      </c>
      <c r="C6340" s="8" t="s">
        <v>12712</v>
      </c>
      <c r="D6340" s="8" t="str">
        <f>"9783428432714"</f>
        <v>9783428432714</v>
      </c>
    </row>
    <row r="6341" spans="1:4" x14ac:dyDescent="0.25">
      <c r="A6341" s="7" t="s">
        <v>7532</v>
      </c>
      <c r="B6341" s="8" t="s">
        <v>7533</v>
      </c>
      <c r="C6341" s="8" t="s">
        <v>993</v>
      </c>
      <c r="D6341" s="8" t="str">
        <f>"9783839406809"</f>
        <v>9783839406809</v>
      </c>
    </row>
    <row r="6342" spans="1:4" ht="30" x14ac:dyDescent="0.25">
      <c r="A6342" s="7" t="s">
        <v>10275</v>
      </c>
      <c r="B6342" s="8" t="s">
        <v>5019</v>
      </c>
      <c r="C6342" s="8" t="s">
        <v>993</v>
      </c>
      <c r="D6342" s="8" t="str">
        <f>"9783839447321"</f>
        <v>9783839447321</v>
      </c>
    </row>
    <row r="6343" spans="1:4" x14ac:dyDescent="0.25">
      <c r="A6343" s="7" t="s">
        <v>7679</v>
      </c>
      <c r="B6343" s="8" t="s">
        <v>7680</v>
      </c>
      <c r="C6343" s="8" t="s">
        <v>993</v>
      </c>
      <c r="D6343" s="8" t="str">
        <f>"9783839426494"</f>
        <v>9783839426494</v>
      </c>
    </row>
    <row r="6344" spans="1:4" ht="30" x14ac:dyDescent="0.25">
      <c r="A6344" s="7" t="s">
        <v>12081</v>
      </c>
      <c r="B6344" s="8" t="s">
        <v>12082</v>
      </c>
      <c r="C6344" s="8" t="s">
        <v>355</v>
      </c>
      <c r="D6344" s="8" t="str">
        <f>"9783110759891"</f>
        <v>9783110759891</v>
      </c>
    </row>
    <row r="6345" spans="1:4" x14ac:dyDescent="0.25">
      <c r="A6345" s="7" t="s">
        <v>7405</v>
      </c>
      <c r="B6345" s="8" t="s">
        <v>7406</v>
      </c>
      <c r="C6345" s="8" t="s">
        <v>5484</v>
      </c>
      <c r="D6345" s="8" t="str">
        <f>"9781484271858"</f>
        <v>9781484271858</v>
      </c>
    </row>
    <row r="6346" spans="1:4" x14ac:dyDescent="0.25">
      <c r="A6346" s="7" t="s">
        <v>16200</v>
      </c>
      <c r="B6346" s="8" t="s">
        <v>16201</v>
      </c>
      <c r="C6346" s="8" t="s">
        <v>1865</v>
      </c>
      <c r="D6346" s="8" t="str">
        <f>"9789175196220"</f>
        <v>9789175196220</v>
      </c>
    </row>
    <row r="6347" spans="1:4" ht="30" x14ac:dyDescent="0.25">
      <c r="A6347" s="7" t="s">
        <v>3410</v>
      </c>
      <c r="B6347" s="8" t="s">
        <v>3411</v>
      </c>
      <c r="C6347" s="8" t="s">
        <v>1865</v>
      </c>
      <c r="D6347" s="8" t="str">
        <f>"9789176854280"</f>
        <v>9789176854280</v>
      </c>
    </row>
    <row r="6348" spans="1:4" x14ac:dyDescent="0.25">
      <c r="A6348" s="7" t="s">
        <v>7294</v>
      </c>
      <c r="B6348" s="8" t="s">
        <v>7295</v>
      </c>
      <c r="C6348" s="8" t="s">
        <v>1879</v>
      </c>
      <c r="D6348" s="8" t="str">
        <f>"9781800641211"</f>
        <v>9781800641211</v>
      </c>
    </row>
    <row r="6349" spans="1:4" ht="30" x14ac:dyDescent="0.25">
      <c r="A6349" s="7" t="s">
        <v>11249</v>
      </c>
      <c r="B6349" s="8" t="s">
        <v>11250</v>
      </c>
      <c r="C6349" s="8" t="s">
        <v>355</v>
      </c>
      <c r="D6349" s="8" t="str">
        <f>"9783110716313"</f>
        <v>9783110716313</v>
      </c>
    </row>
    <row r="6350" spans="1:4" x14ac:dyDescent="0.25">
      <c r="A6350" s="7" t="s">
        <v>12157</v>
      </c>
      <c r="B6350" s="8" t="s">
        <v>459</v>
      </c>
      <c r="C6350" s="8" t="s">
        <v>355</v>
      </c>
      <c r="D6350" s="8" t="str">
        <f>"9783110764062"</f>
        <v>9783110764062</v>
      </c>
    </row>
    <row r="6351" spans="1:4" x14ac:dyDescent="0.25">
      <c r="A6351" s="7" t="s">
        <v>6536</v>
      </c>
      <c r="B6351" s="8" t="s">
        <v>6537</v>
      </c>
      <c r="C6351" s="8" t="s">
        <v>2273</v>
      </c>
      <c r="D6351" s="8" t="str">
        <f>"9783030604066"</f>
        <v>9783030604066</v>
      </c>
    </row>
    <row r="6352" spans="1:4" x14ac:dyDescent="0.25">
      <c r="A6352" s="7" t="s">
        <v>10760</v>
      </c>
      <c r="B6352" s="8" t="s">
        <v>10761</v>
      </c>
      <c r="C6352" s="8" t="s">
        <v>1876</v>
      </c>
      <c r="D6352" s="8" t="str">
        <f>"9781921867316"</f>
        <v>9781921867316</v>
      </c>
    </row>
    <row r="6353" spans="1:4" x14ac:dyDescent="0.25">
      <c r="A6353" s="7" t="s">
        <v>14349</v>
      </c>
      <c r="B6353" s="8" t="s">
        <v>3947</v>
      </c>
      <c r="C6353" s="8" t="s">
        <v>1879</v>
      </c>
      <c r="D6353" s="8" t="str">
        <f>"9781800643703"</f>
        <v>9781800643703</v>
      </c>
    </row>
    <row r="6354" spans="1:4" ht="30" x14ac:dyDescent="0.25">
      <c r="A6354" s="7" t="s">
        <v>464</v>
      </c>
      <c r="B6354" s="8" t="s">
        <v>465</v>
      </c>
      <c r="C6354" s="8" t="s">
        <v>309</v>
      </c>
      <c r="D6354" s="8" t="str">
        <f>"9781439906699"</f>
        <v>9781439906699</v>
      </c>
    </row>
    <row r="6355" spans="1:4" ht="30" x14ac:dyDescent="0.25">
      <c r="A6355" s="7" t="s">
        <v>1789</v>
      </c>
      <c r="B6355" s="8" t="s">
        <v>1790</v>
      </c>
      <c r="C6355" s="8" t="s">
        <v>1345</v>
      </c>
      <c r="D6355" s="8" t="str">
        <f>"9783862197392"</f>
        <v>9783862197392</v>
      </c>
    </row>
    <row r="6356" spans="1:4" x14ac:dyDescent="0.25">
      <c r="A6356" s="7" t="s">
        <v>634</v>
      </c>
      <c r="B6356" s="8" t="s">
        <v>635</v>
      </c>
      <c r="C6356" s="8" t="s">
        <v>562</v>
      </c>
      <c r="D6356" s="8" t="str">
        <f>"9780822393894"</f>
        <v>9780822393894</v>
      </c>
    </row>
    <row r="6357" spans="1:4" ht="30" x14ac:dyDescent="0.25">
      <c r="A6357" s="7" t="s">
        <v>9397</v>
      </c>
      <c r="B6357" s="8" t="s">
        <v>142</v>
      </c>
      <c r="C6357" s="8" t="s">
        <v>9256</v>
      </c>
      <c r="D6357" s="8" t="str">
        <f>"9788021097582"</f>
        <v>9788021097582</v>
      </c>
    </row>
    <row r="6358" spans="1:4" x14ac:dyDescent="0.25">
      <c r="A6358" s="7" t="s">
        <v>9734</v>
      </c>
      <c r="B6358" s="8" t="s">
        <v>9735</v>
      </c>
      <c r="C6358" s="8" t="s">
        <v>993</v>
      </c>
      <c r="D6358" s="8" t="str">
        <f>"9783839403044"</f>
        <v>9783839403044</v>
      </c>
    </row>
    <row r="6359" spans="1:4" x14ac:dyDescent="0.25">
      <c r="A6359" s="7" t="s">
        <v>13670</v>
      </c>
      <c r="B6359" s="8" t="s">
        <v>13671</v>
      </c>
      <c r="C6359" s="8" t="s">
        <v>2785</v>
      </c>
      <c r="D6359" s="8" t="str">
        <f>"9783031198564"</f>
        <v>9783031198564</v>
      </c>
    </row>
    <row r="6360" spans="1:4" x14ac:dyDescent="0.25">
      <c r="A6360" s="7" t="s">
        <v>1471</v>
      </c>
      <c r="B6360" s="8" t="s">
        <v>1472</v>
      </c>
      <c r="C6360" s="8" t="s">
        <v>1345</v>
      </c>
      <c r="D6360" s="8" t="str">
        <f>"9783862193059"</f>
        <v>9783862193059</v>
      </c>
    </row>
    <row r="6361" spans="1:4" ht="30" x14ac:dyDescent="0.25">
      <c r="A6361" s="7" t="s">
        <v>8787</v>
      </c>
      <c r="B6361" s="8" t="s">
        <v>8788</v>
      </c>
      <c r="C6361" s="8" t="s">
        <v>1865</v>
      </c>
      <c r="D6361" s="8" t="str">
        <f>"9789179291051"</f>
        <v>9789179291051</v>
      </c>
    </row>
    <row r="6362" spans="1:4" x14ac:dyDescent="0.25">
      <c r="A6362" s="7" t="s">
        <v>14630</v>
      </c>
      <c r="B6362" s="8" t="s">
        <v>14631</v>
      </c>
      <c r="C6362" s="8" t="s">
        <v>1865</v>
      </c>
      <c r="D6362" s="8" t="str">
        <f>"9789179294908"</f>
        <v>9789179294908</v>
      </c>
    </row>
    <row r="6363" spans="1:4" x14ac:dyDescent="0.25">
      <c r="A6363" s="7" t="s">
        <v>8002</v>
      </c>
      <c r="B6363" s="8" t="s">
        <v>7971</v>
      </c>
      <c r="C6363" s="8" t="s">
        <v>1962</v>
      </c>
      <c r="D6363" s="8" t="str">
        <f>"9782759224944"</f>
        <v>9782759224944</v>
      </c>
    </row>
    <row r="6364" spans="1:4" x14ac:dyDescent="0.25">
      <c r="A6364" s="7" t="s">
        <v>7970</v>
      </c>
      <c r="B6364" s="8" t="s">
        <v>7971</v>
      </c>
      <c r="C6364" s="8" t="s">
        <v>1962</v>
      </c>
      <c r="D6364" s="8" t="str">
        <f>"9782759224937"</f>
        <v>9782759224937</v>
      </c>
    </row>
    <row r="6365" spans="1:4" ht="30" x14ac:dyDescent="0.25">
      <c r="A6365" s="7" t="s">
        <v>5177</v>
      </c>
      <c r="B6365" s="8" t="s">
        <v>5178</v>
      </c>
      <c r="C6365" s="8" t="s">
        <v>1865</v>
      </c>
      <c r="D6365" s="8" t="str">
        <f>"9789179297916"</f>
        <v>9789179297916</v>
      </c>
    </row>
    <row r="6366" spans="1:4" ht="30" x14ac:dyDescent="0.25">
      <c r="A6366" s="7" t="s">
        <v>3184</v>
      </c>
      <c r="B6366" s="8" t="s">
        <v>3185</v>
      </c>
      <c r="C6366" s="8" t="s">
        <v>1865</v>
      </c>
      <c r="D6366" s="8" t="str">
        <f>"9789176855003"</f>
        <v>9789176855003</v>
      </c>
    </row>
    <row r="6367" spans="1:4" x14ac:dyDescent="0.25">
      <c r="A6367" s="7" t="s">
        <v>9593</v>
      </c>
      <c r="B6367" s="8" t="s">
        <v>9594</v>
      </c>
      <c r="C6367" s="8" t="s">
        <v>2273</v>
      </c>
      <c r="D6367" s="8" t="str">
        <f>"9783030862367"</f>
        <v>9783030862367</v>
      </c>
    </row>
    <row r="6368" spans="1:4" x14ac:dyDescent="0.25">
      <c r="A6368" s="7" t="s">
        <v>3938</v>
      </c>
      <c r="B6368" s="8" t="s">
        <v>3939</v>
      </c>
      <c r="C6368" s="8" t="s">
        <v>355</v>
      </c>
      <c r="D6368" s="8" t="str">
        <f>"9783110571561"</f>
        <v>9783110571561</v>
      </c>
    </row>
    <row r="6369" spans="1:4" x14ac:dyDescent="0.25">
      <c r="A6369" s="7" t="s">
        <v>4433</v>
      </c>
      <c r="B6369" s="8" t="s">
        <v>54</v>
      </c>
      <c r="C6369" s="8" t="s">
        <v>1962</v>
      </c>
      <c r="D6369" s="8" t="str">
        <f>"9782759229925"</f>
        <v>9782759229925</v>
      </c>
    </row>
    <row r="6370" spans="1:4" x14ac:dyDescent="0.25">
      <c r="A6370" s="7" t="s">
        <v>11801</v>
      </c>
      <c r="B6370" s="8" t="s">
        <v>26</v>
      </c>
      <c r="C6370" s="8" t="s">
        <v>355</v>
      </c>
      <c r="D6370" s="8" t="str">
        <f>"9783110890709"</f>
        <v>9783110890709</v>
      </c>
    </row>
    <row r="6371" spans="1:4" ht="30" x14ac:dyDescent="0.25">
      <c r="A6371" s="7" t="s">
        <v>10380</v>
      </c>
      <c r="B6371" s="8" t="s">
        <v>10381</v>
      </c>
      <c r="C6371" s="8" t="s">
        <v>993</v>
      </c>
      <c r="D6371" s="8" t="str">
        <f>"9783839454176"</f>
        <v>9783839454176</v>
      </c>
    </row>
    <row r="6372" spans="1:4" ht="30" x14ac:dyDescent="0.25">
      <c r="A6372" s="7" t="s">
        <v>7506</v>
      </c>
      <c r="B6372" s="8" t="s">
        <v>105</v>
      </c>
      <c r="C6372" s="8" t="s">
        <v>993</v>
      </c>
      <c r="D6372" s="8" t="str">
        <f>"9783839402412"</f>
        <v>9783839402412</v>
      </c>
    </row>
    <row r="6373" spans="1:4" ht="30" x14ac:dyDescent="0.25">
      <c r="A6373" s="7" t="s">
        <v>8386</v>
      </c>
      <c r="B6373" s="8" t="s">
        <v>8387</v>
      </c>
      <c r="C6373" s="8" t="s">
        <v>993</v>
      </c>
      <c r="D6373" s="8" t="str">
        <f>"9783839451083"</f>
        <v>9783839451083</v>
      </c>
    </row>
    <row r="6374" spans="1:4" x14ac:dyDescent="0.25">
      <c r="A6374" s="7" t="s">
        <v>1813</v>
      </c>
      <c r="B6374" s="8" t="s">
        <v>1814</v>
      </c>
      <c r="C6374" s="8" t="s">
        <v>1345</v>
      </c>
      <c r="D6374" s="8" t="str">
        <f>"9783862197217"</f>
        <v>9783862197217</v>
      </c>
    </row>
    <row r="6375" spans="1:4" x14ac:dyDescent="0.25">
      <c r="A6375" s="7" t="s">
        <v>1740</v>
      </c>
      <c r="B6375" s="8" t="s">
        <v>53</v>
      </c>
      <c r="C6375" s="8" t="s">
        <v>1345</v>
      </c>
      <c r="D6375" s="8" t="str">
        <f>"9783862194117"</f>
        <v>9783862194117</v>
      </c>
    </row>
    <row r="6376" spans="1:4" x14ac:dyDescent="0.25">
      <c r="A6376" s="7" t="s">
        <v>1457</v>
      </c>
      <c r="B6376" s="8" t="s">
        <v>1458</v>
      </c>
      <c r="C6376" s="8" t="s">
        <v>1345</v>
      </c>
      <c r="D6376" s="8" t="str">
        <f>"9783862193516"</f>
        <v>9783862193516</v>
      </c>
    </row>
    <row r="6377" spans="1:4" ht="30" x14ac:dyDescent="0.25">
      <c r="A6377" s="7" t="s">
        <v>9816</v>
      </c>
      <c r="B6377" s="8" t="s">
        <v>1440</v>
      </c>
      <c r="C6377" s="8" t="s">
        <v>993</v>
      </c>
      <c r="D6377" s="8" t="str">
        <f>"9783839405161"</f>
        <v>9783839405161</v>
      </c>
    </row>
    <row r="6378" spans="1:4" x14ac:dyDescent="0.25">
      <c r="A6378" s="7" t="s">
        <v>11629</v>
      </c>
      <c r="B6378" s="8" t="s">
        <v>11630</v>
      </c>
      <c r="C6378" s="8" t="s">
        <v>355</v>
      </c>
      <c r="D6378" s="8" t="str">
        <f>"9783110880618"</f>
        <v>9783110880618</v>
      </c>
    </row>
    <row r="6379" spans="1:4" ht="30" x14ac:dyDescent="0.25">
      <c r="A6379" s="7" t="s">
        <v>7432</v>
      </c>
      <c r="B6379" s="8" t="s">
        <v>7433</v>
      </c>
      <c r="C6379" s="8" t="s">
        <v>993</v>
      </c>
      <c r="D6379" s="8" t="str">
        <f>"9783839437124"</f>
        <v>9783839437124</v>
      </c>
    </row>
    <row r="6380" spans="1:4" x14ac:dyDescent="0.25">
      <c r="A6380" s="7" t="s">
        <v>10338</v>
      </c>
      <c r="B6380" s="8" t="s">
        <v>8167</v>
      </c>
      <c r="C6380" s="8" t="s">
        <v>993</v>
      </c>
      <c r="D6380" s="8" t="str">
        <f>"9783839449653"</f>
        <v>9783839449653</v>
      </c>
    </row>
    <row r="6381" spans="1:4" ht="30" x14ac:dyDescent="0.25">
      <c r="A6381" s="7" t="s">
        <v>14756</v>
      </c>
      <c r="B6381" s="8" t="s">
        <v>14757</v>
      </c>
      <c r="C6381" s="8" t="s">
        <v>1865</v>
      </c>
      <c r="D6381" s="8" t="str">
        <f>"9789175198149"</f>
        <v>9789175198149</v>
      </c>
    </row>
    <row r="6382" spans="1:4" x14ac:dyDescent="0.25">
      <c r="A6382" s="7" t="s">
        <v>12538</v>
      </c>
      <c r="B6382" s="8" t="s">
        <v>12539</v>
      </c>
      <c r="C6382" s="8" t="s">
        <v>2274</v>
      </c>
      <c r="D6382" s="8" t="str">
        <f>"9789811920721"</f>
        <v>9789811920721</v>
      </c>
    </row>
    <row r="6383" spans="1:4" x14ac:dyDescent="0.25">
      <c r="A6383" s="7" t="s">
        <v>4153</v>
      </c>
      <c r="B6383" s="8" t="s">
        <v>4154</v>
      </c>
      <c r="C6383" s="8" t="s">
        <v>2073</v>
      </c>
      <c r="D6383" s="8" t="str">
        <f>"9781438471822"</f>
        <v>9781438471822</v>
      </c>
    </row>
    <row r="6384" spans="1:4" ht="30" x14ac:dyDescent="0.25">
      <c r="A6384" s="7" t="s">
        <v>7608</v>
      </c>
      <c r="B6384" s="8" t="s">
        <v>7609</v>
      </c>
      <c r="C6384" s="8" t="s">
        <v>993</v>
      </c>
      <c r="D6384" s="8" t="str">
        <f>"9783839419311"</f>
        <v>9783839419311</v>
      </c>
    </row>
    <row r="6385" spans="1:4" ht="30" x14ac:dyDescent="0.25">
      <c r="A6385" s="7" t="s">
        <v>5412</v>
      </c>
      <c r="B6385" s="8" t="s">
        <v>159</v>
      </c>
      <c r="C6385" s="8" t="s">
        <v>5086</v>
      </c>
      <c r="D6385" s="8" t="str">
        <f>"9783658311605"</f>
        <v>9783658311605</v>
      </c>
    </row>
    <row r="6386" spans="1:4" ht="30" x14ac:dyDescent="0.25">
      <c r="A6386" s="7" t="s">
        <v>15207</v>
      </c>
      <c r="B6386" s="8" t="s">
        <v>15208</v>
      </c>
      <c r="C6386" s="8" t="s">
        <v>1865</v>
      </c>
      <c r="D6386" s="8" t="str">
        <f>"9789175196480"</f>
        <v>9789175196480</v>
      </c>
    </row>
    <row r="6387" spans="1:4" x14ac:dyDescent="0.25">
      <c r="A6387" s="7" t="s">
        <v>8037</v>
      </c>
      <c r="B6387" s="8" t="s">
        <v>8038</v>
      </c>
      <c r="C6387" s="8" t="s">
        <v>4882</v>
      </c>
      <c r="D6387" s="8" t="str">
        <f>"9781789627404"</f>
        <v>9781789627404</v>
      </c>
    </row>
    <row r="6388" spans="1:4" x14ac:dyDescent="0.25">
      <c r="A6388" s="7" t="s">
        <v>8222</v>
      </c>
      <c r="B6388" s="8" t="s">
        <v>8223</v>
      </c>
      <c r="C6388" s="8" t="s">
        <v>993</v>
      </c>
      <c r="D6388" s="8" t="str">
        <f>"9783839453490"</f>
        <v>9783839453490</v>
      </c>
    </row>
    <row r="6389" spans="1:4" x14ac:dyDescent="0.25">
      <c r="A6389" s="7" t="s">
        <v>10803</v>
      </c>
      <c r="B6389" s="8" t="s">
        <v>10804</v>
      </c>
      <c r="C6389" s="8" t="s">
        <v>1876</v>
      </c>
      <c r="D6389" s="8" t="str">
        <f>"9781925495898"</f>
        <v>9781925495898</v>
      </c>
    </row>
    <row r="6390" spans="1:4" x14ac:dyDescent="0.25">
      <c r="A6390" s="7" t="s">
        <v>6568</v>
      </c>
      <c r="B6390" s="8" t="s">
        <v>6569</v>
      </c>
      <c r="C6390" s="8" t="s">
        <v>4245</v>
      </c>
      <c r="D6390" s="8" t="str">
        <f>"9789813367067"</f>
        <v>9789813367067</v>
      </c>
    </row>
    <row r="6391" spans="1:4" x14ac:dyDescent="0.25">
      <c r="A6391" s="7" t="s">
        <v>12887</v>
      </c>
      <c r="B6391" s="8" t="s">
        <v>12888</v>
      </c>
      <c r="C6391" s="8" t="s">
        <v>12712</v>
      </c>
      <c r="D6391" s="8" t="str">
        <f>"9783428444465"</f>
        <v>9783428444465</v>
      </c>
    </row>
    <row r="6392" spans="1:4" x14ac:dyDescent="0.25">
      <c r="A6392" s="7" t="s">
        <v>1661</v>
      </c>
      <c r="B6392" s="8" t="s">
        <v>1662</v>
      </c>
      <c r="C6392" s="8" t="s">
        <v>1345</v>
      </c>
      <c r="D6392" s="8" t="str">
        <f>"9783862196098"</f>
        <v>9783862196098</v>
      </c>
    </row>
    <row r="6393" spans="1:4" x14ac:dyDescent="0.25">
      <c r="A6393" s="7" t="s">
        <v>4323</v>
      </c>
      <c r="B6393" s="8" t="s">
        <v>4324</v>
      </c>
      <c r="C6393" s="8" t="s">
        <v>1345</v>
      </c>
      <c r="D6393" s="8" t="str">
        <f>"9783737606639"</f>
        <v>9783737606639</v>
      </c>
    </row>
    <row r="6394" spans="1:4" x14ac:dyDescent="0.25">
      <c r="A6394" s="7" t="s">
        <v>1719</v>
      </c>
      <c r="B6394" s="8" t="s">
        <v>1720</v>
      </c>
      <c r="C6394" s="8" t="s">
        <v>1345</v>
      </c>
      <c r="D6394" s="8" t="str">
        <f>"9783862196074"</f>
        <v>9783862196074</v>
      </c>
    </row>
    <row r="6395" spans="1:4" ht="30" x14ac:dyDescent="0.25">
      <c r="A6395" s="7" t="s">
        <v>6833</v>
      </c>
      <c r="B6395" s="8" t="s">
        <v>6834</v>
      </c>
      <c r="C6395" s="8" t="s">
        <v>5086</v>
      </c>
      <c r="D6395" s="8" t="str">
        <f>"9783658329242"</f>
        <v>9783658329242</v>
      </c>
    </row>
    <row r="6396" spans="1:4" x14ac:dyDescent="0.25">
      <c r="A6396" s="7" t="s">
        <v>12102</v>
      </c>
      <c r="B6396" s="8" t="s">
        <v>11465</v>
      </c>
      <c r="C6396" s="8" t="s">
        <v>7011</v>
      </c>
      <c r="D6396" s="8" t="str">
        <f>"9783422986480"</f>
        <v>9783422986480</v>
      </c>
    </row>
    <row r="6397" spans="1:4" x14ac:dyDescent="0.25">
      <c r="A6397" s="7" t="s">
        <v>295</v>
      </c>
      <c r="B6397" s="8" t="s">
        <v>1</v>
      </c>
      <c r="C6397" s="8" t="s">
        <v>227</v>
      </c>
      <c r="D6397" s="8" t="str">
        <f>"9781847790163"</f>
        <v>9781847790163</v>
      </c>
    </row>
    <row r="6398" spans="1:4" ht="30" x14ac:dyDescent="0.25">
      <c r="A6398" s="7" t="s">
        <v>14046</v>
      </c>
      <c r="B6398" s="8" t="s">
        <v>14047</v>
      </c>
      <c r="C6398" s="8" t="s">
        <v>13997</v>
      </c>
      <c r="D6398" s="8" t="str">
        <f>"9789568416577"</f>
        <v>9789568416577</v>
      </c>
    </row>
    <row r="6399" spans="1:4" ht="30" x14ac:dyDescent="0.25">
      <c r="A6399" s="7" t="s">
        <v>728</v>
      </c>
      <c r="B6399" s="8" t="s">
        <v>727</v>
      </c>
      <c r="C6399" s="8" t="s">
        <v>316</v>
      </c>
      <c r="D6399" s="8" t="str">
        <f>"9783110328875"</f>
        <v>9783110328875</v>
      </c>
    </row>
    <row r="6400" spans="1:4" x14ac:dyDescent="0.25">
      <c r="A6400" s="7" t="s">
        <v>726</v>
      </c>
      <c r="B6400" s="8" t="s">
        <v>727</v>
      </c>
      <c r="C6400" s="8" t="s">
        <v>316</v>
      </c>
      <c r="D6400" s="8" t="str">
        <f>"9783110328851"</f>
        <v>9783110328851</v>
      </c>
    </row>
    <row r="6401" spans="1:4" x14ac:dyDescent="0.25">
      <c r="A6401" s="7" t="s">
        <v>692</v>
      </c>
      <c r="B6401" s="8" t="s">
        <v>693</v>
      </c>
      <c r="C6401" s="8" t="s">
        <v>316</v>
      </c>
      <c r="D6401" s="8" t="str">
        <f>"9783110327212"</f>
        <v>9783110327212</v>
      </c>
    </row>
    <row r="6402" spans="1:4" ht="30" x14ac:dyDescent="0.25">
      <c r="A6402" s="7" t="s">
        <v>10296</v>
      </c>
      <c r="B6402" s="8" t="s">
        <v>10223</v>
      </c>
      <c r="C6402" s="8" t="s">
        <v>993</v>
      </c>
      <c r="D6402" s="8" t="str">
        <f>"9783839448304"</f>
        <v>9783839448304</v>
      </c>
    </row>
    <row r="6403" spans="1:4" ht="30" x14ac:dyDescent="0.25">
      <c r="A6403" s="7" t="s">
        <v>10222</v>
      </c>
      <c r="B6403" s="8" t="s">
        <v>10223</v>
      </c>
      <c r="C6403" s="8" t="s">
        <v>993</v>
      </c>
      <c r="D6403" s="8" t="str">
        <f>"9783839445242"</f>
        <v>9783839445242</v>
      </c>
    </row>
    <row r="6404" spans="1:4" ht="30" x14ac:dyDescent="0.25">
      <c r="A6404" s="7" t="s">
        <v>15264</v>
      </c>
      <c r="B6404" s="8" t="s">
        <v>15265</v>
      </c>
      <c r="C6404" s="8" t="s">
        <v>1865</v>
      </c>
      <c r="D6404" s="8" t="str">
        <f>"9789175194028"</f>
        <v>9789175194028</v>
      </c>
    </row>
    <row r="6405" spans="1:4" ht="30" x14ac:dyDescent="0.25">
      <c r="A6405" s="7" t="s">
        <v>5780</v>
      </c>
      <c r="B6405" s="8" t="s">
        <v>5781</v>
      </c>
      <c r="C6405" s="8" t="s">
        <v>2273</v>
      </c>
      <c r="D6405" s="8" t="str">
        <f>"9783319120904"</f>
        <v>9783319120904</v>
      </c>
    </row>
    <row r="6406" spans="1:4" x14ac:dyDescent="0.25">
      <c r="A6406" s="7" t="s">
        <v>12655</v>
      </c>
      <c r="B6406" s="8" t="s">
        <v>12656</v>
      </c>
      <c r="C6406" s="8" t="s">
        <v>1865</v>
      </c>
      <c r="D6406" s="8" t="str">
        <f>"9789179294021"</f>
        <v>9789179294021</v>
      </c>
    </row>
    <row r="6407" spans="1:4" ht="30" x14ac:dyDescent="0.25">
      <c r="A6407" s="7" t="s">
        <v>7103</v>
      </c>
      <c r="B6407" s="8" t="s">
        <v>7104</v>
      </c>
      <c r="C6407" s="8" t="s">
        <v>355</v>
      </c>
      <c r="D6407" s="8" t="str">
        <f>"9783110693973"</f>
        <v>9783110693973</v>
      </c>
    </row>
    <row r="6408" spans="1:4" ht="30" x14ac:dyDescent="0.25">
      <c r="A6408" s="7" t="s">
        <v>7555</v>
      </c>
      <c r="B6408" s="8" t="s">
        <v>7556</v>
      </c>
      <c r="C6408" s="8" t="s">
        <v>993</v>
      </c>
      <c r="D6408" s="8" t="str">
        <f>"9783839415221"</f>
        <v>9783839415221</v>
      </c>
    </row>
    <row r="6409" spans="1:4" x14ac:dyDescent="0.25">
      <c r="A6409" s="7" t="s">
        <v>8172</v>
      </c>
      <c r="B6409" s="8" t="s">
        <v>8173</v>
      </c>
      <c r="C6409" s="8" t="s">
        <v>993</v>
      </c>
      <c r="D6409" s="8" t="str">
        <f>"9783839440667"</f>
        <v>9783839440667</v>
      </c>
    </row>
    <row r="6410" spans="1:4" x14ac:dyDescent="0.25">
      <c r="A6410" s="7" t="s">
        <v>11848</v>
      </c>
      <c r="B6410" s="8" t="s">
        <v>11849</v>
      </c>
      <c r="C6410" s="8" t="s">
        <v>355</v>
      </c>
      <c r="D6410" s="8" t="str">
        <f>"9783110709872"</f>
        <v>9783110709872</v>
      </c>
    </row>
    <row r="6411" spans="1:4" x14ac:dyDescent="0.25">
      <c r="A6411" s="7" t="s">
        <v>11927</v>
      </c>
      <c r="B6411" s="8" t="s">
        <v>11928</v>
      </c>
      <c r="C6411" s="8" t="s">
        <v>355</v>
      </c>
      <c r="D6411" s="8" t="str">
        <f>"9783486594157"</f>
        <v>9783486594157</v>
      </c>
    </row>
    <row r="6412" spans="1:4" x14ac:dyDescent="0.25">
      <c r="A6412" s="7" t="s">
        <v>10643</v>
      </c>
      <c r="B6412" s="8" t="s">
        <v>10644</v>
      </c>
      <c r="C6412" s="8" t="s">
        <v>1865</v>
      </c>
      <c r="D6412" s="8" t="str">
        <f>"9789179292867"</f>
        <v>9789179292867</v>
      </c>
    </row>
    <row r="6413" spans="1:4" x14ac:dyDescent="0.25">
      <c r="A6413" s="7" t="s">
        <v>8508</v>
      </c>
      <c r="B6413" s="8" t="s">
        <v>8509</v>
      </c>
      <c r="C6413" s="8" t="s">
        <v>993</v>
      </c>
      <c r="D6413" s="8" t="str">
        <f>"9783839450130"</f>
        <v>9783839450130</v>
      </c>
    </row>
    <row r="6414" spans="1:4" x14ac:dyDescent="0.25">
      <c r="A6414" s="7" t="s">
        <v>9072</v>
      </c>
      <c r="B6414" s="8" t="s">
        <v>9073</v>
      </c>
      <c r="C6414" s="8" t="s">
        <v>2273</v>
      </c>
      <c r="D6414" s="8" t="str">
        <f>"9783030785369"</f>
        <v>9783030785369</v>
      </c>
    </row>
    <row r="6415" spans="1:4" ht="30" x14ac:dyDescent="0.25">
      <c r="A6415" s="7" t="s">
        <v>10432</v>
      </c>
      <c r="B6415" s="8" t="s">
        <v>10433</v>
      </c>
      <c r="C6415" s="8" t="s">
        <v>993</v>
      </c>
      <c r="D6415" s="8" t="str">
        <f>"9783839456620"</f>
        <v>9783839456620</v>
      </c>
    </row>
    <row r="6416" spans="1:4" x14ac:dyDescent="0.25">
      <c r="A6416" s="7" t="s">
        <v>7424</v>
      </c>
      <c r="B6416" s="8" t="s">
        <v>7425</v>
      </c>
      <c r="C6416" s="8" t="s">
        <v>993</v>
      </c>
      <c r="D6416" s="8" t="str">
        <f>"9783839436066"</f>
        <v>9783839436066</v>
      </c>
    </row>
    <row r="6417" spans="1:4" ht="30" x14ac:dyDescent="0.25">
      <c r="A6417" s="7" t="s">
        <v>10114</v>
      </c>
      <c r="B6417" s="8" t="s">
        <v>10115</v>
      </c>
      <c r="C6417" s="8" t="s">
        <v>993</v>
      </c>
      <c r="D6417" s="8" t="str">
        <f>"9783839435526"</f>
        <v>9783839435526</v>
      </c>
    </row>
    <row r="6418" spans="1:4" ht="30" x14ac:dyDescent="0.25">
      <c r="A6418" s="7" t="s">
        <v>2412</v>
      </c>
      <c r="B6418" s="8" t="s">
        <v>2413</v>
      </c>
      <c r="C6418" s="8" t="s">
        <v>1865</v>
      </c>
      <c r="D6418" s="8" t="str">
        <f>"9789175190273"</f>
        <v>9789175190273</v>
      </c>
    </row>
    <row r="6419" spans="1:4" ht="30" x14ac:dyDescent="0.25">
      <c r="A6419" s="7" t="s">
        <v>4660</v>
      </c>
      <c r="B6419" s="8" t="s">
        <v>4661</v>
      </c>
      <c r="C6419" s="8" t="s">
        <v>4245</v>
      </c>
      <c r="D6419" s="8" t="str">
        <f>"9789811311901"</f>
        <v>9789811311901</v>
      </c>
    </row>
    <row r="6420" spans="1:4" x14ac:dyDescent="0.25">
      <c r="A6420" s="7" t="s">
        <v>11462</v>
      </c>
      <c r="B6420" s="8" t="s">
        <v>11463</v>
      </c>
      <c r="C6420" s="8" t="s">
        <v>316</v>
      </c>
      <c r="D6420" s="8" t="str">
        <f>"9783111667515"</f>
        <v>9783111667515</v>
      </c>
    </row>
    <row r="6421" spans="1:4" ht="30" x14ac:dyDescent="0.25">
      <c r="A6421" s="7" t="s">
        <v>2976</v>
      </c>
      <c r="B6421" s="8" t="s">
        <v>2977</v>
      </c>
      <c r="C6421" s="8" t="s">
        <v>1865</v>
      </c>
      <c r="D6421" s="8" t="str">
        <f>"9789176856062"</f>
        <v>9789176856062</v>
      </c>
    </row>
    <row r="6422" spans="1:4" x14ac:dyDescent="0.25">
      <c r="A6422" s="7" t="s">
        <v>13015</v>
      </c>
      <c r="B6422" s="8" t="s">
        <v>13016</v>
      </c>
      <c r="C6422" s="8" t="s">
        <v>12712</v>
      </c>
      <c r="D6422" s="8" t="str">
        <f>"9783428467006"</f>
        <v>9783428467006</v>
      </c>
    </row>
    <row r="6423" spans="1:4" ht="30" x14ac:dyDescent="0.25">
      <c r="A6423" s="7" t="s">
        <v>1741</v>
      </c>
      <c r="B6423" s="8" t="s">
        <v>1458</v>
      </c>
      <c r="C6423" s="8" t="s">
        <v>1345</v>
      </c>
      <c r="D6423" s="8" t="str">
        <f>"9783862196616"</f>
        <v>9783862196616</v>
      </c>
    </row>
    <row r="6424" spans="1:4" ht="45" x14ac:dyDescent="0.25">
      <c r="A6424" s="7" t="s">
        <v>13043</v>
      </c>
      <c r="B6424" s="8" t="s">
        <v>13044</v>
      </c>
      <c r="C6424" s="8" t="s">
        <v>12712</v>
      </c>
      <c r="D6424" s="8" t="str">
        <f>"9783428492503"</f>
        <v>9783428492503</v>
      </c>
    </row>
    <row r="6425" spans="1:4" x14ac:dyDescent="0.25">
      <c r="A6425" s="7" t="s">
        <v>4018</v>
      </c>
      <c r="B6425" s="8" t="s">
        <v>4019</v>
      </c>
      <c r="C6425" s="8" t="s">
        <v>355</v>
      </c>
      <c r="D6425" s="8" t="str">
        <f>"9783110587173"</f>
        <v>9783110587173</v>
      </c>
    </row>
    <row r="6426" spans="1:4" x14ac:dyDescent="0.25">
      <c r="A6426" s="7" t="s">
        <v>11191</v>
      </c>
      <c r="B6426" s="8" t="s">
        <v>11192</v>
      </c>
      <c r="C6426" s="8" t="s">
        <v>355</v>
      </c>
      <c r="D6426" s="8" t="str">
        <f>"9788395815041"</f>
        <v>9788395815041</v>
      </c>
    </row>
    <row r="6427" spans="1:4" ht="30" x14ac:dyDescent="0.25">
      <c r="A6427" s="7" t="s">
        <v>1199</v>
      </c>
      <c r="B6427" s="8" t="s">
        <v>1200</v>
      </c>
      <c r="C6427" s="8" t="s">
        <v>355</v>
      </c>
      <c r="D6427" s="8" t="str">
        <f>"9783486842302"</f>
        <v>9783486842302</v>
      </c>
    </row>
    <row r="6428" spans="1:4" x14ac:dyDescent="0.25">
      <c r="A6428" s="7" t="s">
        <v>14273</v>
      </c>
      <c r="B6428" s="8" t="s">
        <v>14274</v>
      </c>
      <c r="C6428" s="8" t="s">
        <v>2273</v>
      </c>
      <c r="D6428" s="8" t="str">
        <f>"9783031132384"</f>
        <v>9783031132384</v>
      </c>
    </row>
    <row r="6429" spans="1:4" x14ac:dyDescent="0.25">
      <c r="A6429" s="7" t="s">
        <v>10989</v>
      </c>
      <c r="B6429" s="8" t="s">
        <v>10990</v>
      </c>
      <c r="C6429" s="8" t="s">
        <v>2273</v>
      </c>
      <c r="D6429" s="8" t="str">
        <f>"9783030958602"</f>
        <v>9783030958602</v>
      </c>
    </row>
    <row r="6430" spans="1:4" ht="30" x14ac:dyDescent="0.25">
      <c r="A6430" s="7" t="s">
        <v>10457</v>
      </c>
      <c r="B6430" s="8" t="s">
        <v>10458</v>
      </c>
      <c r="C6430" s="8" t="s">
        <v>993</v>
      </c>
      <c r="D6430" s="8" t="str">
        <f>"9783839457061"</f>
        <v>9783839457061</v>
      </c>
    </row>
    <row r="6431" spans="1:4" ht="30" x14ac:dyDescent="0.25">
      <c r="A6431" s="7" t="s">
        <v>15503</v>
      </c>
      <c r="B6431" s="8" t="s">
        <v>15504</v>
      </c>
      <c r="C6431" s="8" t="s">
        <v>1865</v>
      </c>
      <c r="D6431" s="8" t="str">
        <f>"9789175192727"</f>
        <v>9789175192727</v>
      </c>
    </row>
    <row r="6432" spans="1:4" x14ac:dyDescent="0.25">
      <c r="A6432" s="7" t="s">
        <v>3755</v>
      </c>
      <c r="B6432" s="8" t="s">
        <v>3756</v>
      </c>
      <c r="C6432" s="8" t="s">
        <v>1865</v>
      </c>
      <c r="D6432" s="8" t="str">
        <f>"9789176852842"</f>
        <v>9789176852842</v>
      </c>
    </row>
    <row r="6433" spans="1:4" x14ac:dyDescent="0.25">
      <c r="A6433" s="7" t="s">
        <v>6008</v>
      </c>
      <c r="B6433" s="8" t="s">
        <v>6009</v>
      </c>
      <c r="C6433" s="8" t="s">
        <v>5086</v>
      </c>
      <c r="D6433" s="8" t="str">
        <f>"9783658084639"</f>
        <v>9783658084639</v>
      </c>
    </row>
    <row r="6434" spans="1:4" ht="30" x14ac:dyDescent="0.25">
      <c r="A6434" s="7" t="s">
        <v>2958</v>
      </c>
      <c r="B6434" s="8" t="s">
        <v>2959</v>
      </c>
      <c r="C6434" s="8" t="s">
        <v>1865</v>
      </c>
      <c r="D6434" s="8" t="str">
        <f>"9789176856819"</f>
        <v>9789176856819</v>
      </c>
    </row>
    <row r="6435" spans="1:4" x14ac:dyDescent="0.25">
      <c r="A6435" s="7" t="s">
        <v>13001</v>
      </c>
      <c r="B6435" s="8" t="s">
        <v>13002</v>
      </c>
      <c r="C6435" s="8" t="s">
        <v>12712</v>
      </c>
      <c r="D6435" s="8" t="str">
        <f>"9783428464517"</f>
        <v>9783428464517</v>
      </c>
    </row>
    <row r="6436" spans="1:4" x14ac:dyDescent="0.25">
      <c r="A6436" s="7" t="s">
        <v>13008</v>
      </c>
      <c r="B6436" s="8" t="s">
        <v>13009</v>
      </c>
      <c r="C6436" s="8" t="s">
        <v>12712</v>
      </c>
      <c r="D6436" s="8" t="str">
        <f>"9783428465897"</f>
        <v>9783428465897</v>
      </c>
    </row>
    <row r="6437" spans="1:4" x14ac:dyDescent="0.25">
      <c r="A6437" s="7" t="s">
        <v>864</v>
      </c>
      <c r="B6437" s="8" t="s">
        <v>865</v>
      </c>
      <c r="C6437" s="8" t="s">
        <v>355</v>
      </c>
      <c r="D6437" s="8" t="str">
        <f>"9783110372717"</f>
        <v>9783110372717</v>
      </c>
    </row>
    <row r="6438" spans="1:4" ht="45" x14ac:dyDescent="0.25">
      <c r="A6438" s="7" t="s">
        <v>13379</v>
      </c>
      <c r="B6438" s="8" t="s">
        <v>13049</v>
      </c>
      <c r="C6438" s="8" t="s">
        <v>12712</v>
      </c>
      <c r="D6438" s="8" t="str">
        <f>"9783428581979"</f>
        <v>9783428581979</v>
      </c>
    </row>
    <row r="6439" spans="1:4" ht="30" x14ac:dyDescent="0.25">
      <c r="A6439" s="7" t="s">
        <v>2984</v>
      </c>
      <c r="B6439" s="8" t="s">
        <v>2985</v>
      </c>
      <c r="C6439" s="8" t="s">
        <v>316</v>
      </c>
      <c r="D6439" s="8" t="str">
        <f>"9783110950397"</f>
        <v>9783110950397</v>
      </c>
    </row>
    <row r="6440" spans="1:4" x14ac:dyDescent="0.25">
      <c r="A6440" s="7" t="s">
        <v>10315</v>
      </c>
      <c r="B6440" s="8" t="s">
        <v>10316</v>
      </c>
      <c r="C6440" s="8" t="s">
        <v>993</v>
      </c>
      <c r="D6440" s="8" t="str">
        <f>"9783839448809"</f>
        <v>9783839448809</v>
      </c>
    </row>
    <row r="6441" spans="1:4" x14ac:dyDescent="0.25">
      <c r="A6441" s="7" t="s">
        <v>7202</v>
      </c>
      <c r="B6441" s="8" t="s">
        <v>7203</v>
      </c>
      <c r="C6441" s="8" t="s">
        <v>355</v>
      </c>
      <c r="D6441" s="8" t="str">
        <f>"9783110661583"</f>
        <v>9783110661583</v>
      </c>
    </row>
    <row r="6442" spans="1:4" x14ac:dyDescent="0.25">
      <c r="A6442" s="7" t="s">
        <v>8793</v>
      </c>
      <c r="B6442" s="8" t="s">
        <v>8794</v>
      </c>
      <c r="C6442" s="8" t="s">
        <v>2273</v>
      </c>
      <c r="D6442" s="8" t="str">
        <f>"9783030796228"</f>
        <v>9783030796228</v>
      </c>
    </row>
    <row r="6443" spans="1:4" ht="30" x14ac:dyDescent="0.25">
      <c r="A6443" s="7" t="s">
        <v>12460</v>
      </c>
      <c r="B6443" s="8" t="s">
        <v>12461</v>
      </c>
      <c r="C6443" s="8" t="s">
        <v>2273</v>
      </c>
      <c r="D6443" s="8" t="str">
        <f>"9783030962104"</f>
        <v>9783030962104</v>
      </c>
    </row>
    <row r="6444" spans="1:4" x14ac:dyDescent="0.25">
      <c r="A6444" s="7" t="s">
        <v>13747</v>
      </c>
      <c r="B6444" s="8" t="s">
        <v>13748</v>
      </c>
      <c r="C6444" s="8" t="s">
        <v>2273</v>
      </c>
      <c r="D6444" s="8" t="str">
        <f>"9783031176258"</f>
        <v>9783031176258</v>
      </c>
    </row>
    <row r="6445" spans="1:4" x14ac:dyDescent="0.25">
      <c r="A6445" s="7" t="s">
        <v>5001</v>
      </c>
      <c r="B6445" s="8" t="s">
        <v>5002</v>
      </c>
      <c r="C6445" s="8" t="s">
        <v>355</v>
      </c>
      <c r="D6445" s="8" t="str">
        <f>"9783110650686"</f>
        <v>9783110650686</v>
      </c>
    </row>
    <row r="6446" spans="1:4" ht="30" x14ac:dyDescent="0.25">
      <c r="A6446" s="7" t="s">
        <v>1561</v>
      </c>
      <c r="B6446" s="8" t="s">
        <v>1562</v>
      </c>
      <c r="C6446" s="8" t="s">
        <v>1345</v>
      </c>
      <c r="D6446" s="8" t="str">
        <f>"9783862193073"</f>
        <v>9783862193073</v>
      </c>
    </row>
    <row r="6447" spans="1:4" ht="30" x14ac:dyDescent="0.25">
      <c r="A6447" s="7" t="s">
        <v>11602</v>
      </c>
      <c r="B6447" s="8" t="s">
        <v>11603</v>
      </c>
      <c r="C6447" s="8" t="s">
        <v>355</v>
      </c>
      <c r="D6447" s="8" t="str">
        <f>"9783110730777"</f>
        <v>9783110730777</v>
      </c>
    </row>
    <row r="6448" spans="1:4" ht="45" x14ac:dyDescent="0.25">
      <c r="A6448" s="7" t="s">
        <v>1754</v>
      </c>
      <c r="B6448" s="8" t="s">
        <v>1755</v>
      </c>
      <c r="C6448" s="8" t="s">
        <v>1345</v>
      </c>
      <c r="D6448" s="8" t="str">
        <f>"9783862196890"</f>
        <v>9783862196890</v>
      </c>
    </row>
    <row r="6449" spans="1:4" ht="45" x14ac:dyDescent="0.25">
      <c r="A6449" s="7" t="s">
        <v>4283</v>
      </c>
      <c r="B6449" s="8" t="s">
        <v>1755</v>
      </c>
      <c r="C6449" s="8" t="s">
        <v>1345</v>
      </c>
      <c r="D6449" s="8" t="str">
        <f>"9783737601894"</f>
        <v>9783737601894</v>
      </c>
    </row>
    <row r="6450" spans="1:4" x14ac:dyDescent="0.25">
      <c r="A6450" s="7" t="s">
        <v>9024</v>
      </c>
      <c r="B6450" s="8" t="s">
        <v>9025</v>
      </c>
      <c r="C6450" s="8" t="s">
        <v>2273</v>
      </c>
      <c r="D6450" s="8" t="str">
        <f>"9783030846909"</f>
        <v>9783030846909</v>
      </c>
    </row>
    <row r="6451" spans="1:4" x14ac:dyDescent="0.25">
      <c r="A6451" s="7" t="s">
        <v>724</v>
      </c>
      <c r="B6451" s="8" t="s">
        <v>725</v>
      </c>
      <c r="C6451" s="8" t="s">
        <v>316</v>
      </c>
      <c r="D6451" s="8" t="str">
        <f>"9783110326857"</f>
        <v>9783110326857</v>
      </c>
    </row>
    <row r="6452" spans="1:4" ht="30" x14ac:dyDescent="0.25">
      <c r="A6452" s="7" t="s">
        <v>5168</v>
      </c>
      <c r="B6452" s="8" t="s">
        <v>5169</v>
      </c>
      <c r="C6452" s="8" t="s">
        <v>2273</v>
      </c>
      <c r="D6452" s="8" t="str">
        <f>"9783030530815"</f>
        <v>9783030530815</v>
      </c>
    </row>
    <row r="6453" spans="1:4" x14ac:dyDescent="0.25">
      <c r="A6453" s="7" t="s">
        <v>1435</v>
      </c>
      <c r="B6453" s="8" t="s">
        <v>1436</v>
      </c>
      <c r="C6453" s="8" t="s">
        <v>1345</v>
      </c>
      <c r="D6453" s="8" t="str">
        <f>"9783899588590"</f>
        <v>9783899588590</v>
      </c>
    </row>
    <row r="6454" spans="1:4" x14ac:dyDescent="0.25">
      <c r="A6454" s="7" t="s">
        <v>8964</v>
      </c>
      <c r="B6454" s="8" t="s">
        <v>8965</v>
      </c>
      <c r="C6454" s="8" t="s">
        <v>2273</v>
      </c>
      <c r="D6454" s="8" t="str">
        <f>"9783030701314"</f>
        <v>9783030701314</v>
      </c>
    </row>
    <row r="6455" spans="1:4" x14ac:dyDescent="0.25">
      <c r="A6455" s="7" t="s">
        <v>2905</v>
      </c>
      <c r="B6455" s="8" t="s">
        <v>2906</v>
      </c>
      <c r="C6455" s="8" t="s">
        <v>562</v>
      </c>
      <c r="D6455" s="8" t="str">
        <f>"9780822373872"</f>
        <v>9780822373872</v>
      </c>
    </row>
    <row r="6456" spans="1:4" x14ac:dyDescent="0.25">
      <c r="A6456" s="7" t="s">
        <v>2621</v>
      </c>
      <c r="B6456" s="8" t="s">
        <v>2622</v>
      </c>
      <c r="C6456" s="8" t="s">
        <v>355</v>
      </c>
      <c r="D6456" s="8" t="str">
        <f>"9783110468663"</f>
        <v>9783110468663</v>
      </c>
    </row>
    <row r="6457" spans="1:4" x14ac:dyDescent="0.25">
      <c r="A6457" s="7" t="s">
        <v>8138</v>
      </c>
      <c r="B6457" s="8" t="s">
        <v>8139</v>
      </c>
      <c r="C6457" s="8" t="s">
        <v>993</v>
      </c>
      <c r="D6457" s="8" t="str">
        <f>"9783839453551"</f>
        <v>9783839453551</v>
      </c>
    </row>
    <row r="6458" spans="1:4" x14ac:dyDescent="0.25">
      <c r="A6458" s="7" t="s">
        <v>8251</v>
      </c>
      <c r="B6458" s="8" t="s">
        <v>8252</v>
      </c>
      <c r="C6458" s="8" t="s">
        <v>993</v>
      </c>
      <c r="D6458" s="8" t="str">
        <f>"9783839452509"</f>
        <v>9783839452509</v>
      </c>
    </row>
    <row r="6459" spans="1:4" ht="30" x14ac:dyDescent="0.25">
      <c r="A6459" s="7" t="s">
        <v>8122</v>
      </c>
      <c r="B6459" s="8" t="s">
        <v>8123</v>
      </c>
      <c r="C6459" s="8" t="s">
        <v>993</v>
      </c>
      <c r="D6459" s="8" t="str">
        <f>"9783839456217"</f>
        <v>9783839456217</v>
      </c>
    </row>
    <row r="6460" spans="1:4" x14ac:dyDescent="0.25">
      <c r="A6460" s="7" t="s">
        <v>9704</v>
      </c>
      <c r="B6460" s="8" t="s">
        <v>9705</v>
      </c>
      <c r="C6460" s="8" t="s">
        <v>993</v>
      </c>
      <c r="D6460" s="8" t="str">
        <f>"9783839402252"</f>
        <v>9783839402252</v>
      </c>
    </row>
    <row r="6461" spans="1:4" x14ac:dyDescent="0.25">
      <c r="A6461" s="7" t="s">
        <v>10155</v>
      </c>
      <c r="B6461" s="8" t="s">
        <v>10156</v>
      </c>
      <c r="C6461" s="8" t="s">
        <v>993</v>
      </c>
      <c r="D6461" s="8" t="str">
        <f>"9783839441657"</f>
        <v>9783839441657</v>
      </c>
    </row>
    <row r="6462" spans="1:4" ht="30" x14ac:dyDescent="0.25">
      <c r="A6462" s="7" t="s">
        <v>10894</v>
      </c>
      <c r="B6462" s="8" t="s">
        <v>10895</v>
      </c>
      <c r="C6462" s="8" t="s">
        <v>5086</v>
      </c>
      <c r="D6462" s="8" t="str">
        <f>"9783658365684"</f>
        <v>9783658365684</v>
      </c>
    </row>
    <row r="6463" spans="1:4" x14ac:dyDescent="0.25">
      <c r="A6463" s="7" t="s">
        <v>8458</v>
      </c>
      <c r="B6463" s="8" t="s">
        <v>8459</v>
      </c>
      <c r="C6463" s="8" t="s">
        <v>993</v>
      </c>
      <c r="D6463" s="8" t="str">
        <f>"9783839454855"</f>
        <v>9783839454855</v>
      </c>
    </row>
    <row r="6464" spans="1:4" x14ac:dyDescent="0.25">
      <c r="A6464" s="7" t="s">
        <v>5005</v>
      </c>
      <c r="B6464" s="8" t="s">
        <v>5006</v>
      </c>
      <c r="C6464" s="8" t="s">
        <v>355</v>
      </c>
      <c r="D6464" s="8" t="str">
        <f>"9783110580853"</f>
        <v>9783110580853</v>
      </c>
    </row>
    <row r="6465" spans="1:4" ht="30" x14ac:dyDescent="0.25">
      <c r="A6465" s="7" t="s">
        <v>11599</v>
      </c>
      <c r="B6465" s="8" t="s">
        <v>11600</v>
      </c>
      <c r="C6465" s="8" t="s">
        <v>355</v>
      </c>
      <c r="D6465" s="8" t="str">
        <f>"9783110657760"</f>
        <v>9783110657760</v>
      </c>
    </row>
    <row r="6466" spans="1:4" ht="60" x14ac:dyDescent="0.25">
      <c r="A6466" s="7" t="s">
        <v>7212</v>
      </c>
      <c r="B6466" s="8" t="s">
        <v>7213</v>
      </c>
      <c r="C6466" s="8" t="s">
        <v>355</v>
      </c>
      <c r="D6466" s="8" t="str">
        <f>"9783110696493"</f>
        <v>9783110696493</v>
      </c>
    </row>
    <row r="6467" spans="1:4" x14ac:dyDescent="0.25">
      <c r="A6467" s="7" t="s">
        <v>8273</v>
      </c>
      <c r="B6467" s="8" t="s">
        <v>8274</v>
      </c>
      <c r="C6467" s="8" t="s">
        <v>993</v>
      </c>
      <c r="D6467" s="8" t="str">
        <f>"9783839451908"</f>
        <v>9783839451908</v>
      </c>
    </row>
    <row r="6468" spans="1:4" x14ac:dyDescent="0.25">
      <c r="A6468" s="7" t="s">
        <v>5865</v>
      </c>
      <c r="B6468" s="8" t="s">
        <v>5866</v>
      </c>
      <c r="C6468" s="8" t="s">
        <v>5086</v>
      </c>
      <c r="D6468" s="8" t="str">
        <f>"9783658275945"</f>
        <v>9783658275945</v>
      </c>
    </row>
    <row r="6469" spans="1:4" x14ac:dyDescent="0.25">
      <c r="A6469" s="7" t="s">
        <v>7460</v>
      </c>
      <c r="B6469" s="8" t="s">
        <v>7461</v>
      </c>
      <c r="C6469" s="8" t="s">
        <v>993</v>
      </c>
      <c r="D6469" s="8" t="str">
        <f>"9783839440476"</f>
        <v>9783839440476</v>
      </c>
    </row>
    <row r="6470" spans="1:4" ht="30" x14ac:dyDescent="0.25">
      <c r="A6470" s="7" t="s">
        <v>9681</v>
      </c>
      <c r="B6470" s="8" t="s">
        <v>9682</v>
      </c>
      <c r="C6470" s="8" t="s">
        <v>993</v>
      </c>
      <c r="D6470" s="8" t="str">
        <f>"9783839401064"</f>
        <v>9783839401064</v>
      </c>
    </row>
    <row r="6471" spans="1:4" x14ac:dyDescent="0.25">
      <c r="A6471" s="7" t="s">
        <v>9748</v>
      </c>
      <c r="B6471" s="8" t="s">
        <v>9749</v>
      </c>
      <c r="C6471" s="8" t="s">
        <v>993</v>
      </c>
      <c r="D6471" s="8" t="str">
        <f>"9783839403501"</f>
        <v>9783839403501</v>
      </c>
    </row>
    <row r="6472" spans="1:4" x14ac:dyDescent="0.25">
      <c r="A6472" s="7" t="s">
        <v>10679</v>
      </c>
      <c r="B6472" s="8" t="s">
        <v>10680</v>
      </c>
      <c r="C6472" s="8" t="s">
        <v>4882</v>
      </c>
      <c r="D6472" s="8" t="str">
        <f>"9781789627633"</f>
        <v>9781789627633</v>
      </c>
    </row>
    <row r="6473" spans="1:4" x14ac:dyDescent="0.25">
      <c r="A6473" s="7" t="s">
        <v>4417</v>
      </c>
      <c r="B6473" s="8" t="s">
        <v>4418</v>
      </c>
      <c r="C6473" s="8" t="s">
        <v>4332</v>
      </c>
      <c r="D6473" s="8" t="str">
        <f>"9781942401605"</f>
        <v>9781942401605</v>
      </c>
    </row>
    <row r="6474" spans="1:4" ht="45" x14ac:dyDescent="0.25">
      <c r="A6474" s="7" t="s">
        <v>4092</v>
      </c>
      <c r="B6474" s="8" t="s">
        <v>106</v>
      </c>
      <c r="C6474" s="8" t="s">
        <v>355</v>
      </c>
      <c r="D6474" s="8" t="str">
        <f>"9783110549577"</f>
        <v>9783110549577</v>
      </c>
    </row>
    <row r="6475" spans="1:4" ht="30" x14ac:dyDescent="0.25">
      <c r="A6475" s="7" t="s">
        <v>6743</v>
      </c>
      <c r="B6475" s="8" t="s">
        <v>6744</v>
      </c>
      <c r="C6475" s="8" t="s">
        <v>5134</v>
      </c>
      <c r="D6475" s="8" t="str">
        <f>"9783662623046"</f>
        <v>9783662623046</v>
      </c>
    </row>
    <row r="6476" spans="1:4" ht="30" x14ac:dyDescent="0.25">
      <c r="A6476" s="7" t="s">
        <v>13635</v>
      </c>
      <c r="B6476" s="8" t="s">
        <v>13636</v>
      </c>
      <c r="C6476" s="8" t="s">
        <v>2273</v>
      </c>
      <c r="D6476" s="8" t="str">
        <f>"9783031067761"</f>
        <v>9783031067761</v>
      </c>
    </row>
    <row r="6477" spans="1:4" ht="30" x14ac:dyDescent="0.25">
      <c r="A6477" s="7" t="s">
        <v>2585</v>
      </c>
      <c r="B6477" s="8" t="s">
        <v>1343</v>
      </c>
      <c r="C6477" s="8" t="s">
        <v>1342</v>
      </c>
      <c r="D6477" s="8" t="str">
        <f>"9789633860939"</f>
        <v>9789633860939</v>
      </c>
    </row>
    <row r="6478" spans="1:4" ht="30" x14ac:dyDescent="0.25">
      <c r="A6478" s="7" t="s">
        <v>1351</v>
      </c>
      <c r="B6478" s="8" t="s">
        <v>1352</v>
      </c>
      <c r="C6478" s="8" t="s">
        <v>1345</v>
      </c>
      <c r="D6478" s="8" t="str">
        <f>"9783899589696"</f>
        <v>9783899589696</v>
      </c>
    </row>
    <row r="6479" spans="1:4" x14ac:dyDescent="0.25">
      <c r="A6479" s="7" t="s">
        <v>1742</v>
      </c>
      <c r="B6479" s="8" t="s">
        <v>1743</v>
      </c>
      <c r="C6479" s="8" t="s">
        <v>1345</v>
      </c>
      <c r="D6479" s="8" t="str">
        <f>"9783862194292"</f>
        <v>9783862194292</v>
      </c>
    </row>
    <row r="6480" spans="1:4" x14ac:dyDescent="0.25">
      <c r="A6480" s="7" t="s">
        <v>3672</v>
      </c>
      <c r="B6480" s="8" t="s">
        <v>3673</v>
      </c>
      <c r="C6480" s="8" t="s">
        <v>1879</v>
      </c>
      <c r="D6480" s="8" t="str">
        <f>"9781783744756"</f>
        <v>9781783744756</v>
      </c>
    </row>
    <row r="6481" spans="1:4" x14ac:dyDescent="0.25">
      <c r="A6481" s="7" t="s">
        <v>5268</v>
      </c>
      <c r="B6481" s="8" t="s">
        <v>5269</v>
      </c>
      <c r="C6481" s="8" t="s">
        <v>2273</v>
      </c>
      <c r="D6481" s="8" t="str">
        <f>"9783030331573"</f>
        <v>9783030331573</v>
      </c>
    </row>
    <row r="6482" spans="1:4" ht="30" x14ac:dyDescent="0.25">
      <c r="A6482" s="7" t="s">
        <v>14924</v>
      </c>
      <c r="B6482" s="8" t="s">
        <v>14925</v>
      </c>
      <c r="C6482" s="8" t="s">
        <v>1865</v>
      </c>
      <c r="D6482" s="8" t="str">
        <f>"9789176859278"</f>
        <v>9789176859278</v>
      </c>
    </row>
    <row r="6483" spans="1:4" x14ac:dyDescent="0.25">
      <c r="A6483" s="7" t="s">
        <v>793</v>
      </c>
      <c r="B6483" s="8"/>
      <c r="C6483" s="8"/>
      <c r="D6483" s="8"/>
    </row>
    <row r="6484" spans="1:4" x14ac:dyDescent="0.25">
      <c r="A6484" s="7" t="s">
        <v>10946</v>
      </c>
      <c r="B6484" s="8" t="s">
        <v>10947</v>
      </c>
      <c r="C6484" s="8" t="s">
        <v>9138</v>
      </c>
      <c r="D6484" s="8" t="str">
        <f>"9780520969513"</f>
        <v>9780520969513</v>
      </c>
    </row>
    <row r="6485" spans="1:4" x14ac:dyDescent="0.25">
      <c r="A6485" s="7" t="s">
        <v>11150</v>
      </c>
      <c r="B6485" s="8" t="s">
        <v>11151</v>
      </c>
      <c r="C6485" s="8" t="s">
        <v>355</v>
      </c>
      <c r="D6485" s="8" t="str">
        <f>"9783486595550"</f>
        <v>9783486595550</v>
      </c>
    </row>
    <row r="6486" spans="1:4" x14ac:dyDescent="0.25">
      <c r="A6486" s="7" t="s">
        <v>5179</v>
      </c>
      <c r="B6486" s="8" t="s">
        <v>5180</v>
      </c>
      <c r="C6486" s="8" t="s">
        <v>1865</v>
      </c>
      <c r="D6486" s="8" t="str">
        <f>"9789179298296"</f>
        <v>9789179298296</v>
      </c>
    </row>
    <row r="6487" spans="1:4" x14ac:dyDescent="0.25">
      <c r="A6487" s="7" t="s">
        <v>5916</v>
      </c>
      <c r="B6487" s="8" t="s">
        <v>3845</v>
      </c>
      <c r="C6487" s="8" t="s">
        <v>2273</v>
      </c>
      <c r="D6487" s="8" t="str">
        <f>"9783319590967"</f>
        <v>9783319590967</v>
      </c>
    </row>
    <row r="6488" spans="1:4" x14ac:dyDescent="0.25">
      <c r="A6488" s="7" t="s">
        <v>7045</v>
      </c>
      <c r="B6488" s="8" t="s">
        <v>7046</v>
      </c>
      <c r="C6488" s="8" t="s">
        <v>355</v>
      </c>
      <c r="D6488" s="8" t="str">
        <f>"9783110652741"</f>
        <v>9783110652741</v>
      </c>
    </row>
    <row r="6489" spans="1:4" ht="30" x14ac:dyDescent="0.25">
      <c r="A6489" s="7" t="s">
        <v>10526</v>
      </c>
      <c r="B6489" s="8" t="s">
        <v>10527</v>
      </c>
      <c r="C6489" s="8" t="s">
        <v>993</v>
      </c>
      <c r="D6489" s="8" t="str">
        <f>"9783839458839"</f>
        <v>9783839458839</v>
      </c>
    </row>
    <row r="6490" spans="1:4" x14ac:dyDescent="0.25">
      <c r="A6490" s="7" t="s">
        <v>9329</v>
      </c>
      <c r="B6490" s="8" t="s">
        <v>9330</v>
      </c>
      <c r="C6490" s="8" t="s">
        <v>9256</v>
      </c>
      <c r="D6490" s="8" t="str">
        <f>"9788021095502"</f>
        <v>9788021095502</v>
      </c>
    </row>
    <row r="6491" spans="1:4" ht="30" x14ac:dyDescent="0.25">
      <c r="A6491" s="7" t="s">
        <v>9083</v>
      </c>
      <c r="B6491" s="8" t="s">
        <v>6757</v>
      </c>
      <c r="C6491" s="8" t="s">
        <v>1879</v>
      </c>
      <c r="D6491" s="8" t="str">
        <f>"9781800642447"</f>
        <v>9781800642447</v>
      </c>
    </row>
    <row r="6492" spans="1:4" x14ac:dyDescent="0.25">
      <c r="A6492" s="7" t="s">
        <v>5709</v>
      </c>
      <c r="B6492" s="8" t="s">
        <v>5710</v>
      </c>
      <c r="C6492" s="8" t="s">
        <v>5134</v>
      </c>
      <c r="D6492" s="8" t="str">
        <f>"9783642546785"</f>
        <v>9783642546785</v>
      </c>
    </row>
    <row r="6493" spans="1:4" ht="30" x14ac:dyDescent="0.25">
      <c r="A6493" s="7" t="s">
        <v>12273</v>
      </c>
      <c r="B6493" s="8" t="s">
        <v>12274</v>
      </c>
      <c r="C6493" s="8" t="s">
        <v>993</v>
      </c>
      <c r="D6493" s="8" t="str">
        <f>"9783839457078"</f>
        <v>9783839457078</v>
      </c>
    </row>
    <row r="6494" spans="1:4" x14ac:dyDescent="0.25">
      <c r="A6494" s="7" t="s">
        <v>1609</v>
      </c>
      <c r="B6494" s="8" t="s">
        <v>1610</v>
      </c>
      <c r="C6494" s="8" t="s">
        <v>1345</v>
      </c>
      <c r="D6494" s="8" t="str">
        <f>"9783862191819"</f>
        <v>9783862191819</v>
      </c>
    </row>
    <row r="6495" spans="1:4" ht="30" x14ac:dyDescent="0.25">
      <c r="A6495" s="7" t="s">
        <v>1605</v>
      </c>
      <c r="B6495" s="8" t="s">
        <v>1606</v>
      </c>
      <c r="C6495" s="8" t="s">
        <v>1345</v>
      </c>
      <c r="D6495" s="8" t="str">
        <f>"9783862191833"</f>
        <v>9783862191833</v>
      </c>
    </row>
    <row r="6496" spans="1:4" ht="30" x14ac:dyDescent="0.25">
      <c r="A6496" s="7" t="s">
        <v>549</v>
      </c>
      <c r="B6496" s="8" t="s">
        <v>550</v>
      </c>
      <c r="C6496" s="8" t="s">
        <v>316</v>
      </c>
      <c r="D6496" s="8" t="str">
        <f>"9783110301939"</f>
        <v>9783110301939</v>
      </c>
    </row>
    <row r="6497" spans="1:4" ht="30" x14ac:dyDescent="0.25">
      <c r="A6497" s="7" t="s">
        <v>7376</v>
      </c>
      <c r="B6497" s="8" t="s">
        <v>7377</v>
      </c>
      <c r="C6497" s="8" t="s">
        <v>1865</v>
      </c>
      <c r="D6497" s="8" t="str">
        <f>"9789179296070"</f>
        <v>9789179296070</v>
      </c>
    </row>
    <row r="6498" spans="1:4" x14ac:dyDescent="0.25">
      <c r="A6498" s="7" t="s">
        <v>8817</v>
      </c>
      <c r="B6498" s="8" t="s">
        <v>8818</v>
      </c>
      <c r="C6498" s="8" t="s">
        <v>8805</v>
      </c>
      <c r="D6498" s="8" t="str">
        <f>"9781934831212"</f>
        <v>9781934831212</v>
      </c>
    </row>
    <row r="6499" spans="1:4" x14ac:dyDescent="0.25">
      <c r="A6499" s="7" t="s">
        <v>256</v>
      </c>
      <c r="B6499" s="8" t="s">
        <v>257</v>
      </c>
      <c r="C6499" s="8" t="s">
        <v>227</v>
      </c>
      <c r="D6499" s="8" t="str">
        <f>"9781847790439"</f>
        <v>9781847790439</v>
      </c>
    </row>
    <row r="6500" spans="1:4" x14ac:dyDescent="0.25">
      <c r="A6500" s="7" t="s">
        <v>10799</v>
      </c>
      <c r="B6500" s="8" t="s">
        <v>10800</v>
      </c>
      <c r="C6500" s="8" t="s">
        <v>1876</v>
      </c>
      <c r="D6500" s="8" t="str">
        <f>"9781925495584"</f>
        <v>9781925495584</v>
      </c>
    </row>
    <row r="6501" spans="1:4" x14ac:dyDescent="0.25">
      <c r="A6501" s="7" t="s">
        <v>5295</v>
      </c>
      <c r="B6501" s="8" t="s">
        <v>5296</v>
      </c>
      <c r="C6501" s="8" t="s">
        <v>2273</v>
      </c>
      <c r="D6501" s="8" t="str">
        <f>"9783319290164"</f>
        <v>9783319290164</v>
      </c>
    </row>
    <row r="6502" spans="1:4" ht="30" x14ac:dyDescent="0.25">
      <c r="A6502" s="7" t="s">
        <v>8748</v>
      </c>
      <c r="B6502" s="8" t="s">
        <v>8749</v>
      </c>
      <c r="C6502" s="8" t="s">
        <v>2273</v>
      </c>
      <c r="D6502" s="8" t="str">
        <f>"9783030812263"</f>
        <v>9783030812263</v>
      </c>
    </row>
    <row r="6503" spans="1:4" x14ac:dyDescent="0.25">
      <c r="A6503" s="7" t="s">
        <v>6021</v>
      </c>
      <c r="B6503" s="8" t="s">
        <v>6022</v>
      </c>
      <c r="C6503" s="8" t="s">
        <v>2273</v>
      </c>
      <c r="D6503" s="8" t="str">
        <f>"9783319394503"</f>
        <v>9783319394503</v>
      </c>
    </row>
    <row r="6504" spans="1:4" ht="30" x14ac:dyDescent="0.25">
      <c r="A6504" s="7" t="s">
        <v>5844</v>
      </c>
      <c r="B6504" s="8" t="s">
        <v>5845</v>
      </c>
      <c r="C6504" s="8" t="s">
        <v>2273</v>
      </c>
      <c r="D6504" s="8" t="str">
        <f>"9783319418148"</f>
        <v>9783319418148</v>
      </c>
    </row>
    <row r="6505" spans="1:4" x14ac:dyDescent="0.25">
      <c r="A6505" s="7" t="s">
        <v>6167</v>
      </c>
      <c r="B6505" s="8" t="s">
        <v>6168</v>
      </c>
      <c r="C6505" s="8" t="s">
        <v>2273</v>
      </c>
      <c r="D6505" s="8" t="str">
        <f>"9783319316253"</f>
        <v>9783319316253</v>
      </c>
    </row>
    <row r="6506" spans="1:4" x14ac:dyDescent="0.25">
      <c r="A6506" s="7" t="s">
        <v>5338</v>
      </c>
      <c r="B6506" s="8" t="s">
        <v>5339</v>
      </c>
      <c r="C6506" s="8" t="s">
        <v>2273</v>
      </c>
      <c r="D6506" s="8" t="str">
        <f>"9783319689661"</f>
        <v>9783319689661</v>
      </c>
    </row>
    <row r="6507" spans="1:4" ht="30" x14ac:dyDescent="0.25">
      <c r="A6507" s="7" t="s">
        <v>9106</v>
      </c>
      <c r="B6507" s="8" t="s">
        <v>9107</v>
      </c>
      <c r="C6507" s="8" t="s">
        <v>2273</v>
      </c>
      <c r="D6507" s="8" t="str">
        <f>"9783030907693"</f>
        <v>9783030907693</v>
      </c>
    </row>
    <row r="6508" spans="1:4" x14ac:dyDescent="0.25">
      <c r="A6508" s="7" t="s">
        <v>3521</v>
      </c>
      <c r="B6508" s="8" t="s">
        <v>3522</v>
      </c>
      <c r="C6508" s="8" t="s">
        <v>1879</v>
      </c>
      <c r="D6508" s="8" t="str">
        <f>"9781783740741"</f>
        <v>9781783740741</v>
      </c>
    </row>
    <row r="6509" spans="1:4" x14ac:dyDescent="0.25">
      <c r="A6509" s="7" t="s">
        <v>14543</v>
      </c>
      <c r="B6509" s="8" t="s">
        <v>14544</v>
      </c>
      <c r="C6509" s="8" t="s">
        <v>1865</v>
      </c>
      <c r="D6509" s="8" t="str">
        <f>"9789179292850"</f>
        <v>9789179292850</v>
      </c>
    </row>
    <row r="6510" spans="1:4" x14ac:dyDescent="0.25">
      <c r="A6510" s="7" t="s">
        <v>14700</v>
      </c>
      <c r="B6510" s="8" t="s">
        <v>14690</v>
      </c>
      <c r="C6510" s="8" t="s">
        <v>1865</v>
      </c>
      <c r="D6510" s="8" t="str">
        <f>"9789179299132"</f>
        <v>9789179299132</v>
      </c>
    </row>
    <row r="6511" spans="1:4" x14ac:dyDescent="0.25">
      <c r="A6511" s="7" t="s">
        <v>14689</v>
      </c>
      <c r="B6511" s="8" t="s">
        <v>14690</v>
      </c>
      <c r="C6511" s="8" t="s">
        <v>1865</v>
      </c>
      <c r="D6511" s="8" t="str">
        <f>"9789179292935"</f>
        <v>9789179292935</v>
      </c>
    </row>
    <row r="6512" spans="1:4" x14ac:dyDescent="0.25">
      <c r="A6512" s="7" t="s">
        <v>15077</v>
      </c>
      <c r="B6512" s="8" t="s">
        <v>3971</v>
      </c>
      <c r="C6512" s="8" t="s">
        <v>1865</v>
      </c>
      <c r="D6512" s="8" t="str">
        <f>"9789175195018"</f>
        <v>9789175195018</v>
      </c>
    </row>
    <row r="6513" spans="1:4" x14ac:dyDescent="0.25">
      <c r="A6513" s="7" t="s">
        <v>3970</v>
      </c>
      <c r="B6513" s="8" t="s">
        <v>3971</v>
      </c>
      <c r="C6513" s="8" t="s">
        <v>1865</v>
      </c>
      <c r="D6513" s="8" t="str">
        <f>"9789176853580"</f>
        <v>9789176853580</v>
      </c>
    </row>
    <row r="6514" spans="1:4" x14ac:dyDescent="0.25">
      <c r="A6514" s="7" t="s">
        <v>15263</v>
      </c>
      <c r="B6514" s="8" t="s">
        <v>2963</v>
      </c>
      <c r="C6514" s="8" t="s">
        <v>1865</v>
      </c>
      <c r="D6514" s="8" t="str">
        <f>"9789175196343"</f>
        <v>9789175196343</v>
      </c>
    </row>
    <row r="6515" spans="1:4" x14ac:dyDescent="0.25">
      <c r="A6515" s="7" t="s">
        <v>6736</v>
      </c>
      <c r="B6515" s="8" t="s">
        <v>6737</v>
      </c>
      <c r="C6515" s="8" t="s">
        <v>2273</v>
      </c>
      <c r="D6515" s="8" t="str">
        <f>"9783030631314"</f>
        <v>9783030631314</v>
      </c>
    </row>
    <row r="6516" spans="1:4" x14ac:dyDescent="0.25">
      <c r="A6516" s="7" t="s">
        <v>10887</v>
      </c>
      <c r="B6516" s="8" t="s">
        <v>6057</v>
      </c>
      <c r="C6516" s="8" t="s">
        <v>5086</v>
      </c>
      <c r="D6516" s="8" t="str">
        <f>"9783658360221"</f>
        <v>9783658360221</v>
      </c>
    </row>
    <row r="6517" spans="1:4" x14ac:dyDescent="0.25">
      <c r="A6517" s="7" t="s">
        <v>10082</v>
      </c>
      <c r="B6517" s="8" t="s">
        <v>10083</v>
      </c>
      <c r="C6517" s="8" t="s">
        <v>993</v>
      </c>
      <c r="D6517" s="8" t="str">
        <f>"9783839431498"</f>
        <v>9783839431498</v>
      </c>
    </row>
    <row r="6518" spans="1:4" x14ac:dyDescent="0.25">
      <c r="A6518" s="7" t="s">
        <v>3569</v>
      </c>
      <c r="B6518" s="8" t="s">
        <v>3570</v>
      </c>
      <c r="C6518" s="8" t="s">
        <v>1865</v>
      </c>
      <c r="D6518" s="8" t="str">
        <f>"9789176853627"</f>
        <v>9789176853627</v>
      </c>
    </row>
    <row r="6519" spans="1:4" ht="30" x14ac:dyDescent="0.25">
      <c r="A6519" s="7" t="s">
        <v>1585</v>
      </c>
      <c r="B6519" s="8" t="s">
        <v>1586</v>
      </c>
      <c r="C6519" s="8" t="s">
        <v>1345</v>
      </c>
      <c r="D6519" s="8" t="str">
        <f>"9783862193639"</f>
        <v>9783862193639</v>
      </c>
    </row>
    <row r="6520" spans="1:4" x14ac:dyDescent="0.25">
      <c r="A6520" s="7" t="s">
        <v>15997</v>
      </c>
      <c r="B6520" s="8" t="s">
        <v>15998</v>
      </c>
      <c r="C6520" s="8" t="s">
        <v>1865</v>
      </c>
      <c r="D6520" s="8" t="str">
        <f>"9789176853870"</f>
        <v>9789176853870</v>
      </c>
    </row>
    <row r="6521" spans="1:4" ht="30" x14ac:dyDescent="0.25">
      <c r="A6521" s="7" t="s">
        <v>11140</v>
      </c>
      <c r="B6521" s="8" t="s">
        <v>11141</v>
      </c>
      <c r="C6521" s="8" t="s">
        <v>2273</v>
      </c>
      <c r="D6521" s="8" t="str">
        <f>"9783030990077"</f>
        <v>9783030990077</v>
      </c>
    </row>
    <row r="6522" spans="1:4" x14ac:dyDescent="0.25">
      <c r="A6522" s="7" t="s">
        <v>4187</v>
      </c>
      <c r="B6522" s="8" t="s">
        <v>4188</v>
      </c>
      <c r="C6522" s="8" t="s">
        <v>562</v>
      </c>
      <c r="D6522" s="8" t="str">
        <f>"9781478002789"</f>
        <v>9781478002789</v>
      </c>
    </row>
    <row r="6523" spans="1:4" x14ac:dyDescent="0.25">
      <c r="A6523" s="7" t="s">
        <v>2898</v>
      </c>
      <c r="B6523" s="8" t="s">
        <v>2899</v>
      </c>
      <c r="C6523" s="8" t="s">
        <v>1865</v>
      </c>
      <c r="D6523" s="8" t="str">
        <f>"9789176856383"</f>
        <v>9789176856383</v>
      </c>
    </row>
    <row r="6524" spans="1:4" x14ac:dyDescent="0.25">
      <c r="A6524" s="7" t="s">
        <v>4954</v>
      </c>
      <c r="B6524" s="8" t="s">
        <v>4955</v>
      </c>
      <c r="C6524" s="8" t="s">
        <v>1865</v>
      </c>
      <c r="D6524" s="8" t="str">
        <f>"9789179298685"</f>
        <v>9789179298685</v>
      </c>
    </row>
    <row r="6525" spans="1:4" x14ac:dyDescent="0.25">
      <c r="A6525" s="7" t="s">
        <v>13977</v>
      </c>
      <c r="B6525" s="8" t="s">
        <v>13978</v>
      </c>
      <c r="C6525" s="8" t="s">
        <v>2273</v>
      </c>
      <c r="D6525" s="8" t="str">
        <f>"9783031082153"</f>
        <v>9783031082153</v>
      </c>
    </row>
    <row r="6526" spans="1:4" x14ac:dyDescent="0.25">
      <c r="A6526" s="7" t="s">
        <v>12212</v>
      </c>
      <c r="B6526" s="8" t="s">
        <v>12213</v>
      </c>
      <c r="C6526" s="8" t="s">
        <v>2273</v>
      </c>
      <c r="D6526" s="8" t="str">
        <f>"9783030986407"</f>
        <v>9783030986407</v>
      </c>
    </row>
    <row r="6527" spans="1:4" x14ac:dyDescent="0.25">
      <c r="A6527" s="7" t="s">
        <v>6091</v>
      </c>
      <c r="B6527" s="8" t="s">
        <v>6092</v>
      </c>
      <c r="C6527" s="8" t="s">
        <v>2273</v>
      </c>
      <c r="D6527" s="8" t="str">
        <f>"9783319023991"</f>
        <v>9783319023991</v>
      </c>
    </row>
    <row r="6528" spans="1:4" ht="30" x14ac:dyDescent="0.25">
      <c r="A6528" s="7" t="s">
        <v>1535</v>
      </c>
      <c r="B6528" s="8" t="s">
        <v>1536</v>
      </c>
      <c r="C6528" s="8" t="s">
        <v>1345</v>
      </c>
      <c r="D6528" s="8" t="str">
        <f>"9783862191338"</f>
        <v>9783862191338</v>
      </c>
    </row>
    <row r="6529" spans="1:4" ht="30" x14ac:dyDescent="0.25">
      <c r="A6529" s="7" t="s">
        <v>10898</v>
      </c>
      <c r="B6529" s="8" t="s">
        <v>10899</v>
      </c>
      <c r="C6529" s="8" t="s">
        <v>5134</v>
      </c>
      <c r="D6529" s="8" t="str">
        <f>"9783662640715"</f>
        <v>9783662640715</v>
      </c>
    </row>
    <row r="6530" spans="1:4" x14ac:dyDescent="0.25">
      <c r="A6530" s="7" t="s">
        <v>7985</v>
      </c>
      <c r="B6530" s="8" t="s">
        <v>7986</v>
      </c>
      <c r="C6530" s="8" t="s">
        <v>1962</v>
      </c>
      <c r="D6530" s="8" t="str">
        <f>"9782759227792"</f>
        <v>9782759227792</v>
      </c>
    </row>
    <row r="6531" spans="1:4" ht="30" x14ac:dyDescent="0.25">
      <c r="A6531" s="7" t="s">
        <v>16176</v>
      </c>
      <c r="B6531" s="8" t="s">
        <v>16177</v>
      </c>
      <c r="C6531" s="8" t="s">
        <v>1865</v>
      </c>
      <c r="D6531" s="8" t="str">
        <f>"9789176856888"</f>
        <v>9789176856888</v>
      </c>
    </row>
    <row r="6532" spans="1:4" x14ac:dyDescent="0.25">
      <c r="A6532" s="7" t="s">
        <v>14480</v>
      </c>
      <c r="B6532" s="8" t="s">
        <v>14481</v>
      </c>
      <c r="C6532" s="8" t="s">
        <v>1865</v>
      </c>
      <c r="D6532" s="8" t="str">
        <f>"9789179291129"</f>
        <v>9789179291129</v>
      </c>
    </row>
    <row r="6533" spans="1:4" x14ac:dyDescent="0.25">
      <c r="A6533" s="7" t="s">
        <v>365</v>
      </c>
      <c r="B6533" s="8" t="s">
        <v>366</v>
      </c>
      <c r="C6533" s="8" t="s">
        <v>227</v>
      </c>
      <c r="D6533" s="8" t="str">
        <f>"9781847790965"</f>
        <v>9781847790965</v>
      </c>
    </row>
    <row r="6534" spans="1:4" x14ac:dyDescent="0.25">
      <c r="A6534" s="7" t="s">
        <v>13986</v>
      </c>
      <c r="B6534" s="8" t="s">
        <v>13987</v>
      </c>
      <c r="C6534" s="8" t="s">
        <v>2273</v>
      </c>
      <c r="D6534" s="8" t="str">
        <f>"9783031141713"</f>
        <v>9783031141713</v>
      </c>
    </row>
    <row r="6535" spans="1:4" ht="30" x14ac:dyDescent="0.25">
      <c r="A6535" s="7" t="s">
        <v>12172</v>
      </c>
      <c r="B6535" s="8" t="s">
        <v>180</v>
      </c>
      <c r="C6535" s="8" t="s">
        <v>355</v>
      </c>
      <c r="D6535" s="8" t="str">
        <f>"9783110752410"</f>
        <v>9783110752410</v>
      </c>
    </row>
    <row r="6536" spans="1:4" x14ac:dyDescent="0.25">
      <c r="A6536" s="7" t="s">
        <v>7332</v>
      </c>
      <c r="B6536" s="8" t="s">
        <v>7333</v>
      </c>
      <c r="C6536" s="8" t="s">
        <v>2273</v>
      </c>
      <c r="D6536" s="8" t="str">
        <f>"9783030748517"</f>
        <v>9783030748517</v>
      </c>
    </row>
    <row r="6537" spans="1:4" x14ac:dyDescent="0.25">
      <c r="A6537" s="7" t="s">
        <v>11993</v>
      </c>
      <c r="B6537" s="8" t="s">
        <v>11994</v>
      </c>
      <c r="C6537" s="8" t="s">
        <v>355</v>
      </c>
      <c r="D6537" s="8" t="str">
        <f>"9783110751987"</f>
        <v>9783110751987</v>
      </c>
    </row>
    <row r="6538" spans="1:4" ht="30" x14ac:dyDescent="0.25">
      <c r="A6538" s="7" t="s">
        <v>12156</v>
      </c>
      <c r="B6538" s="8" t="s">
        <v>11994</v>
      </c>
      <c r="C6538" s="8" t="s">
        <v>355</v>
      </c>
      <c r="D6538" s="8" t="str">
        <f>"9783110751963"</f>
        <v>9783110751963</v>
      </c>
    </row>
    <row r="6539" spans="1:4" x14ac:dyDescent="0.25">
      <c r="A6539" s="7" t="s">
        <v>12632</v>
      </c>
      <c r="B6539" s="8" t="s">
        <v>12633</v>
      </c>
      <c r="C6539" s="8" t="s">
        <v>2273</v>
      </c>
      <c r="D6539" s="8" t="str">
        <f>"9783031092855"</f>
        <v>9783031092855</v>
      </c>
    </row>
    <row r="6540" spans="1:4" ht="30" x14ac:dyDescent="0.25">
      <c r="A6540" s="7" t="s">
        <v>6756</v>
      </c>
      <c r="B6540" s="8" t="s">
        <v>6757</v>
      </c>
      <c r="C6540" s="8" t="s">
        <v>1879</v>
      </c>
      <c r="D6540" s="8" t="str">
        <f>"9781800641280"</f>
        <v>9781800641280</v>
      </c>
    </row>
    <row r="6541" spans="1:4" ht="30" x14ac:dyDescent="0.25">
      <c r="A6541" s="7" t="s">
        <v>15351</v>
      </c>
      <c r="B6541" s="8" t="s">
        <v>15352</v>
      </c>
      <c r="C6541" s="8" t="s">
        <v>1865</v>
      </c>
      <c r="D6541" s="8" t="str">
        <f>"9789175192703"</f>
        <v>9789175192703</v>
      </c>
    </row>
    <row r="6542" spans="1:4" x14ac:dyDescent="0.25">
      <c r="A6542" s="7" t="s">
        <v>7321</v>
      </c>
      <c r="B6542" s="8" t="s">
        <v>7322</v>
      </c>
      <c r="C6542" s="8" t="s">
        <v>2273</v>
      </c>
      <c r="D6542" s="8" t="str">
        <f>"9783030718190"</f>
        <v>9783030718190</v>
      </c>
    </row>
    <row r="6543" spans="1:4" ht="30" x14ac:dyDescent="0.25">
      <c r="A6543" s="7" t="s">
        <v>739</v>
      </c>
      <c r="B6543" s="8" t="s">
        <v>740</v>
      </c>
      <c r="C6543" s="8" t="s">
        <v>355</v>
      </c>
      <c r="D6543" s="8" t="str">
        <f>"9788376560410"</f>
        <v>9788376560410</v>
      </c>
    </row>
    <row r="6544" spans="1:4" x14ac:dyDescent="0.25">
      <c r="A6544" s="7" t="s">
        <v>818</v>
      </c>
      <c r="B6544" s="8" t="s">
        <v>819</v>
      </c>
      <c r="C6544" s="8" t="s">
        <v>562</v>
      </c>
      <c r="D6544" s="8" t="str">
        <f>"9780822377474"</f>
        <v>9780822377474</v>
      </c>
    </row>
    <row r="6545" spans="1:4" x14ac:dyDescent="0.25">
      <c r="A6545" s="7" t="s">
        <v>14259</v>
      </c>
      <c r="B6545" s="8" t="s">
        <v>14260</v>
      </c>
      <c r="C6545" s="8" t="s">
        <v>2274</v>
      </c>
      <c r="D6545" s="8" t="str">
        <f>"9783031176937"</f>
        <v>9783031176937</v>
      </c>
    </row>
    <row r="6546" spans="1:4" x14ac:dyDescent="0.25">
      <c r="A6546" s="7" t="s">
        <v>14844</v>
      </c>
      <c r="B6546" s="8" t="s">
        <v>14845</v>
      </c>
      <c r="C6546" s="8" t="s">
        <v>1865</v>
      </c>
      <c r="D6546" s="8" t="str">
        <f>"9789175199528"</f>
        <v>9789175199528</v>
      </c>
    </row>
    <row r="6547" spans="1:4" x14ac:dyDescent="0.25">
      <c r="A6547" s="7" t="s">
        <v>5360</v>
      </c>
      <c r="B6547" s="8" t="s">
        <v>5361</v>
      </c>
      <c r="C6547" s="8" t="s">
        <v>5358</v>
      </c>
      <c r="D6547" s="8" t="str">
        <f>"9781786390813"</f>
        <v>9781786390813</v>
      </c>
    </row>
    <row r="6548" spans="1:4" x14ac:dyDescent="0.25">
      <c r="A6548" s="7" t="s">
        <v>2890</v>
      </c>
      <c r="B6548" s="8" t="s">
        <v>2891</v>
      </c>
      <c r="C6548" s="8" t="s">
        <v>1865</v>
      </c>
      <c r="D6548" s="8" t="str">
        <f>"9789176856666"</f>
        <v>9789176856666</v>
      </c>
    </row>
    <row r="6549" spans="1:4" x14ac:dyDescent="0.25">
      <c r="A6549" s="7" t="s">
        <v>9503</v>
      </c>
      <c r="B6549" s="8" t="s">
        <v>9504</v>
      </c>
      <c r="C6549" s="8" t="s">
        <v>2273</v>
      </c>
      <c r="D6549" s="8" t="str">
        <f>"9783030949723"</f>
        <v>9783030949723</v>
      </c>
    </row>
    <row r="6550" spans="1:4" x14ac:dyDescent="0.25">
      <c r="A6550" s="7" t="s">
        <v>14034</v>
      </c>
      <c r="B6550" s="8" t="s">
        <v>14000</v>
      </c>
      <c r="C6550" s="8" t="s">
        <v>13997</v>
      </c>
      <c r="D6550" s="8" t="str">
        <f>"9789566095361"</f>
        <v>9789566095361</v>
      </c>
    </row>
    <row r="6551" spans="1:4" x14ac:dyDescent="0.25">
      <c r="A6551" s="7" t="s">
        <v>9484</v>
      </c>
      <c r="B6551" s="8" t="s">
        <v>5937</v>
      </c>
      <c r="C6551" s="8" t="s">
        <v>2273</v>
      </c>
      <c r="D6551" s="8" t="str">
        <f>"9783030932091"</f>
        <v>9783030932091</v>
      </c>
    </row>
    <row r="6552" spans="1:4" x14ac:dyDescent="0.25">
      <c r="A6552" s="7" t="s">
        <v>6573</v>
      </c>
      <c r="B6552" s="8" t="s">
        <v>6574</v>
      </c>
      <c r="C6552" s="8" t="s">
        <v>4245</v>
      </c>
      <c r="D6552" s="8" t="str">
        <f>"9789811593352"</f>
        <v>9789811593352</v>
      </c>
    </row>
    <row r="6553" spans="1:4" x14ac:dyDescent="0.25">
      <c r="A6553" s="7" t="s">
        <v>4869</v>
      </c>
      <c r="B6553" s="8" t="s">
        <v>4870</v>
      </c>
      <c r="C6553" s="8" t="s">
        <v>562</v>
      </c>
      <c r="D6553" s="8" t="str">
        <f>"9781478007586"</f>
        <v>9781478007586</v>
      </c>
    </row>
    <row r="6554" spans="1:4" x14ac:dyDescent="0.25">
      <c r="A6554" s="7" t="s">
        <v>14130</v>
      </c>
      <c r="B6554" s="8" t="s">
        <v>14131</v>
      </c>
      <c r="C6554" s="8" t="s">
        <v>2273</v>
      </c>
      <c r="D6554" s="8" t="str">
        <f>"9783031176821"</f>
        <v>9783031176821</v>
      </c>
    </row>
    <row r="6555" spans="1:4" ht="30" x14ac:dyDescent="0.25">
      <c r="A6555" s="7" t="s">
        <v>10474</v>
      </c>
      <c r="B6555" s="8" t="s">
        <v>10475</v>
      </c>
      <c r="C6555" s="8" t="s">
        <v>993</v>
      </c>
      <c r="D6555" s="8" t="str">
        <f>"9783839457542"</f>
        <v>9783839457542</v>
      </c>
    </row>
    <row r="6556" spans="1:4" ht="30" x14ac:dyDescent="0.25">
      <c r="A6556" s="7" t="s">
        <v>11496</v>
      </c>
      <c r="B6556" s="8" t="s">
        <v>11497</v>
      </c>
      <c r="C6556" s="8" t="s">
        <v>355</v>
      </c>
      <c r="D6556" s="8" t="str">
        <f>"9783486595635"</f>
        <v>9783486595635</v>
      </c>
    </row>
    <row r="6557" spans="1:4" x14ac:dyDescent="0.25">
      <c r="A6557" s="7" t="s">
        <v>5252</v>
      </c>
      <c r="B6557" s="8" t="s">
        <v>5253</v>
      </c>
      <c r="C6557" s="8" t="s">
        <v>2273</v>
      </c>
      <c r="D6557" s="8" t="str">
        <f>"9783319120393"</f>
        <v>9783319120393</v>
      </c>
    </row>
    <row r="6558" spans="1:4" x14ac:dyDescent="0.25">
      <c r="A6558" s="7" t="s">
        <v>4022</v>
      </c>
      <c r="B6558" s="8" t="s">
        <v>4023</v>
      </c>
      <c r="C6558" s="8" t="s">
        <v>355</v>
      </c>
      <c r="D6558" s="8" t="str">
        <f>"9783110557657"</f>
        <v>9783110557657</v>
      </c>
    </row>
    <row r="6559" spans="1:4" x14ac:dyDescent="0.25">
      <c r="A6559" s="7" t="s">
        <v>10392</v>
      </c>
      <c r="B6559" s="8" t="s">
        <v>10393</v>
      </c>
      <c r="C6559" s="8" t="s">
        <v>993</v>
      </c>
      <c r="D6559" s="8" t="str">
        <f>"9783839454435"</f>
        <v>9783839454435</v>
      </c>
    </row>
    <row r="6560" spans="1:4" x14ac:dyDescent="0.25">
      <c r="A6560" s="7" t="s">
        <v>12044</v>
      </c>
      <c r="B6560" s="8" t="s">
        <v>12045</v>
      </c>
      <c r="C6560" s="8" t="s">
        <v>355</v>
      </c>
      <c r="D6560" s="8" t="str">
        <f>"9783110757668"</f>
        <v>9783110757668</v>
      </c>
    </row>
    <row r="6561" spans="1:4" ht="30" x14ac:dyDescent="0.25">
      <c r="A6561" s="7" t="s">
        <v>2017</v>
      </c>
      <c r="B6561" s="8" t="s">
        <v>2018</v>
      </c>
      <c r="C6561" s="8" t="s">
        <v>1962</v>
      </c>
      <c r="D6561" s="8" t="str">
        <f>"9782759206940"</f>
        <v>9782759206940</v>
      </c>
    </row>
    <row r="6562" spans="1:4" x14ac:dyDescent="0.25">
      <c r="A6562" s="7" t="s">
        <v>3069</v>
      </c>
      <c r="B6562" s="8" t="s">
        <v>3070</v>
      </c>
      <c r="C6562" s="8" t="s">
        <v>355</v>
      </c>
      <c r="D6562" s="8" t="str">
        <f>"9783110484663"</f>
        <v>9783110484663</v>
      </c>
    </row>
    <row r="6563" spans="1:4" x14ac:dyDescent="0.25">
      <c r="A6563" s="7" t="s">
        <v>9230</v>
      </c>
      <c r="B6563" s="8" t="s">
        <v>4136</v>
      </c>
      <c r="C6563" s="8" t="s">
        <v>4882</v>
      </c>
      <c r="D6563" s="8" t="str">
        <f>"9781781385739"</f>
        <v>9781781385739</v>
      </c>
    </row>
    <row r="6564" spans="1:4" ht="30" x14ac:dyDescent="0.25">
      <c r="A6564" s="7" t="s">
        <v>9894</v>
      </c>
      <c r="B6564" s="8" t="s">
        <v>9895</v>
      </c>
      <c r="C6564" s="8" t="s">
        <v>993</v>
      </c>
      <c r="D6564" s="8" t="str">
        <f>"9783839407561"</f>
        <v>9783839407561</v>
      </c>
    </row>
    <row r="6565" spans="1:4" x14ac:dyDescent="0.25">
      <c r="A6565" s="7" t="s">
        <v>14309</v>
      </c>
      <c r="B6565" s="8" t="s">
        <v>6118</v>
      </c>
      <c r="C6565" s="8" t="s">
        <v>2274</v>
      </c>
      <c r="D6565" s="8" t="str">
        <f>"9789811980466"</f>
        <v>9789811980466</v>
      </c>
    </row>
    <row r="6566" spans="1:4" x14ac:dyDescent="0.25">
      <c r="A6566" s="7" t="s">
        <v>6858</v>
      </c>
      <c r="B6566" s="8" t="s">
        <v>6859</v>
      </c>
      <c r="C6566" s="8" t="s">
        <v>2273</v>
      </c>
      <c r="D6566" s="8" t="str">
        <f>"9783030665302"</f>
        <v>9783030665302</v>
      </c>
    </row>
    <row r="6567" spans="1:4" x14ac:dyDescent="0.25">
      <c r="A6567" s="7" t="s">
        <v>4997</v>
      </c>
      <c r="B6567" s="8" t="s">
        <v>4998</v>
      </c>
      <c r="C6567" s="8" t="s">
        <v>355</v>
      </c>
      <c r="D6567" s="8" t="str">
        <f>"9783110619744"</f>
        <v>9783110619744</v>
      </c>
    </row>
    <row r="6568" spans="1:4" x14ac:dyDescent="0.25">
      <c r="A6568" s="7" t="s">
        <v>1819</v>
      </c>
      <c r="B6568" s="8" t="s">
        <v>1820</v>
      </c>
      <c r="C6568" s="8" t="s">
        <v>1345</v>
      </c>
      <c r="D6568" s="8" t="str">
        <f>"9783862197057"</f>
        <v>9783862197057</v>
      </c>
    </row>
    <row r="6569" spans="1:4" x14ac:dyDescent="0.25">
      <c r="A6569" s="7" t="s">
        <v>984</v>
      </c>
      <c r="B6569" s="8" t="s">
        <v>985</v>
      </c>
      <c r="C6569" s="8" t="s">
        <v>355</v>
      </c>
      <c r="D6569" s="8" t="str">
        <f>"9783110426120"</f>
        <v>9783110426120</v>
      </c>
    </row>
    <row r="6570" spans="1:4" x14ac:dyDescent="0.25">
      <c r="A6570" s="7" t="s">
        <v>6894</v>
      </c>
      <c r="B6570" s="8" t="s">
        <v>6895</v>
      </c>
      <c r="C6570" s="8" t="s">
        <v>1879</v>
      </c>
      <c r="D6570" s="8" t="str">
        <f>"9781783749638"</f>
        <v>9781783749638</v>
      </c>
    </row>
    <row r="6571" spans="1:4" x14ac:dyDescent="0.25">
      <c r="A6571" s="7" t="s">
        <v>7080</v>
      </c>
      <c r="B6571" s="8" t="s">
        <v>7081</v>
      </c>
      <c r="C6571" s="8" t="s">
        <v>355</v>
      </c>
      <c r="D6571" s="8" t="str">
        <f>"9783035619195"</f>
        <v>9783035619195</v>
      </c>
    </row>
    <row r="6572" spans="1:4" x14ac:dyDescent="0.25">
      <c r="A6572" s="7" t="s">
        <v>2400</v>
      </c>
      <c r="B6572" s="8" t="s">
        <v>2401</v>
      </c>
      <c r="C6572" s="8" t="s">
        <v>329</v>
      </c>
      <c r="D6572" s="8" t="str">
        <f>"9789048525157"</f>
        <v>9789048525157</v>
      </c>
    </row>
    <row r="6573" spans="1:4" ht="30" x14ac:dyDescent="0.25">
      <c r="A6573" s="7" t="s">
        <v>5746</v>
      </c>
      <c r="B6573" s="8" t="s">
        <v>5747</v>
      </c>
      <c r="C6573" s="8" t="s">
        <v>5086</v>
      </c>
      <c r="D6573" s="8" t="str">
        <f>"9783658208011"</f>
        <v>9783658208011</v>
      </c>
    </row>
    <row r="6574" spans="1:4" ht="30" x14ac:dyDescent="0.25">
      <c r="A6574" s="7" t="s">
        <v>12344</v>
      </c>
      <c r="B6574" s="8" t="s">
        <v>12345</v>
      </c>
      <c r="C6574" s="8" t="s">
        <v>993</v>
      </c>
      <c r="D6574" s="8" t="str">
        <f>"9783839462263"</f>
        <v>9783839462263</v>
      </c>
    </row>
    <row r="6575" spans="1:4" x14ac:dyDescent="0.25">
      <c r="A6575" s="7" t="s">
        <v>5782</v>
      </c>
      <c r="B6575" s="8" t="s">
        <v>5783</v>
      </c>
      <c r="C6575" s="8" t="s">
        <v>2273</v>
      </c>
      <c r="D6575" s="8" t="str">
        <f>"9783319606217"</f>
        <v>9783319606217</v>
      </c>
    </row>
    <row r="6576" spans="1:4" x14ac:dyDescent="0.25">
      <c r="A6576" s="7" t="s">
        <v>14760</v>
      </c>
      <c r="B6576" s="8" t="s">
        <v>14761</v>
      </c>
      <c r="C6576" s="8" t="s">
        <v>1865</v>
      </c>
      <c r="D6576" s="8" t="str">
        <f>"9789175191263"</f>
        <v>9789175191263</v>
      </c>
    </row>
    <row r="6577" spans="1:4" ht="30" x14ac:dyDescent="0.25">
      <c r="A6577" s="7" t="s">
        <v>15359</v>
      </c>
      <c r="B6577" s="8" t="s">
        <v>15360</v>
      </c>
      <c r="C6577" s="8" t="s">
        <v>1865</v>
      </c>
      <c r="D6577" s="8" t="str">
        <f>"9789176858486"</f>
        <v>9789176858486</v>
      </c>
    </row>
    <row r="6578" spans="1:4" x14ac:dyDescent="0.25">
      <c r="A6578" s="7" t="s">
        <v>7282</v>
      </c>
      <c r="B6578" s="8" t="s">
        <v>7283</v>
      </c>
      <c r="C6578" s="8" t="s">
        <v>329</v>
      </c>
      <c r="D6578" s="8" t="str">
        <f>"9789048534586"</f>
        <v>9789048534586</v>
      </c>
    </row>
    <row r="6579" spans="1:4" ht="30" x14ac:dyDescent="0.25">
      <c r="A6579" s="7" t="s">
        <v>4329</v>
      </c>
      <c r="B6579" s="8" t="s">
        <v>4330</v>
      </c>
      <c r="C6579" s="8" t="s">
        <v>1865</v>
      </c>
      <c r="D6579" s="8" t="str">
        <f>"9789176851401"</f>
        <v>9789176851401</v>
      </c>
    </row>
    <row r="6580" spans="1:4" x14ac:dyDescent="0.25">
      <c r="A6580" s="7" t="s">
        <v>16243</v>
      </c>
      <c r="B6580" s="8" t="s">
        <v>15107</v>
      </c>
      <c r="C6580" s="8" t="s">
        <v>1865</v>
      </c>
      <c r="D6580" s="8" t="str">
        <f>"9789175195834"</f>
        <v>9789175195834</v>
      </c>
    </row>
    <row r="6581" spans="1:4" x14ac:dyDescent="0.25">
      <c r="A6581" s="7" t="s">
        <v>3291</v>
      </c>
      <c r="B6581" s="8" t="s">
        <v>3292</v>
      </c>
      <c r="C6581" s="8" t="s">
        <v>1865</v>
      </c>
      <c r="D6581" s="8" t="str">
        <f>"9789176854976"</f>
        <v>9789176854976</v>
      </c>
    </row>
    <row r="6582" spans="1:4" x14ac:dyDescent="0.25">
      <c r="A6582" s="7" t="s">
        <v>14245</v>
      </c>
      <c r="B6582" s="8" t="s">
        <v>14246</v>
      </c>
      <c r="C6582" s="8" t="s">
        <v>2273</v>
      </c>
      <c r="D6582" s="8" t="str">
        <f>"9783031255526"</f>
        <v>9783031255526</v>
      </c>
    </row>
    <row r="6583" spans="1:4" x14ac:dyDescent="0.25">
      <c r="A6583" s="7" t="s">
        <v>5297</v>
      </c>
      <c r="B6583" s="8" t="s">
        <v>5298</v>
      </c>
      <c r="C6583" s="8" t="s">
        <v>2273</v>
      </c>
      <c r="D6583" s="8" t="str">
        <f>"9783319504698"</f>
        <v>9783319504698</v>
      </c>
    </row>
    <row r="6584" spans="1:4" x14ac:dyDescent="0.25">
      <c r="A6584" s="7" t="s">
        <v>9374</v>
      </c>
      <c r="B6584" s="8" t="s">
        <v>214</v>
      </c>
      <c r="C6584" s="8" t="s">
        <v>9256</v>
      </c>
      <c r="D6584" s="8" t="str">
        <f>"9788021096523"</f>
        <v>9788021096523</v>
      </c>
    </row>
    <row r="6585" spans="1:4" ht="30" x14ac:dyDescent="0.25">
      <c r="A6585" s="7" t="s">
        <v>16228</v>
      </c>
      <c r="B6585" s="8" t="s">
        <v>8179</v>
      </c>
      <c r="C6585" s="8" t="s">
        <v>1865</v>
      </c>
      <c r="D6585" s="8" t="str">
        <f>"9789175190396"</f>
        <v>9789175190396</v>
      </c>
    </row>
    <row r="6586" spans="1:4" x14ac:dyDescent="0.25">
      <c r="A6586" s="7" t="s">
        <v>8178</v>
      </c>
      <c r="B6586" s="8" t="s">
        <v>8179</v>
      </c>
      <c r="C6586" s="8" t="s">
        <v>993</v>
      </c>
      <c r="D6586" s="8" t="str">
        <f>"9783839452035"</f>
        <v>9783839452035</v>
      </c>
    </row>
    <row r="6587" spans="1:4" x14ac:dyDescent="0.25">
      <c r="A6587" s="7" t="s">
        <v>6499</v>
      </c>
      <c r="B6587" s="8" t="s">
        <v>82</v>
      </c>
      <c r="C6587" s="8" t="s">
        <v>2273</v>
      </c>
      <c r="D6587" s="8" t="str">
        <f>"9783030541736"</f>
        <v>9783030541736</v>
      </c>
    </row>
    <row r="6588" spans="1:4" x14ac:dyDescent="0.25">
      <c r="A6588" s="7" t="s">
        <v>13487</v>
      </c>
      <c r="B6588" s="8" t="s">
        <v>13488</v>
      </c>
      <c r="C6588" s="8" t="s">
        <v>2273</v>
      </c>
      <c r="D6588" s="8" t="str">
        <f>"9783031114472"</f>
        <v>9783031114472</v>
      </c>
    </row>
    <row r="6589" spans="1:4" ht="30" x14ac:dyDescent="0.25">
      <c r="A6589" s="7" t="s">
        <v>15290</v>
      </c>
      <c r="B6589" s="8" t="s">
        <v>15291</v>
      </c>
      <c r="C6589" s="8" t="s">
        <v>1865</v>
      </c>
      <c r="D6589" s="8" t="str">
        <f>"9789175196374"</f>
        <v>9789175196374</v>
      </c>
    </row>
    <row r="6590" spans="1:4" x14ac:dyDescent="0.25">
      <c r="A6590" s="7" t="s">
        <v>14494</v>
      </c>
      <c r="B6590" s="8" t="s">
        <v>14495</v>
      </c>
      <c r="C6590" s="8" t="s">
        <v>1865</v>
      </c>
      <c r="D6590" s="8" t="str">
        <f>"9789179296421"</f>
        <v>9789179296421</v>
      </c>
    </row>
    <row r="6591" spans="1:4" x14ac:dyDescent="0.25">
      <c r="A6591" s="7" t="s">
        <v>4723</v>
      </c>
      <c r="B6591" s="8" t="s">
        <v>4724</v>
      </c>
      <c r="C6591" s="8" t="s">
        <v>1865</v>
      </c>
      <c r="D6591" s="8" t="str">
        <f>"9789176850138"</f>
        <v>9789176850138</v>
      </c>
    </row>
    <row r="6592" spans="1:4" ht="30" x14ac:dyDescent="0.25">
      <c r="A6592" s="7" t="s">
        <v>8452</v>
      </c>
      <c r="B6592" s="8" t="s">
        <v>8453</v>
      </c>
      <c r="C6592" s="8" t="s">
        <v>993</v>
      </c>
      <c r="D6592" s="8" t="str">
        <f>"9783839456682"</f>
        <v>9783839456682</v>
      </c>
    </row>
    <row r="6593" spans="1:4" x14ac:dyDescent="0.25">
      <c r="A6593" s="7" t="s">
        <v>426</v>
      </c>
      <c r="B6593" s="8" t="s">
        <v>427</v>
      </c>
      <c r="C6593" s="8" t="s">
        <v>227</v>
      </c>
      <c r="D6593" s="8" t="str">
        <f>"9781847791030"</f>
        <v>9781847791030</v>
      </c>
    </row>
    <row r="6594" spans="1:4" x14ac:dyDescent="0.25">
      <c r="A6594" s="7" t="s">
        <v>9214</v>
      </c>
      <c r="B6594" s="8" t="s">
        <v>9215</v>
      </c>
      <c r="C6594" s="8" t="s">
        <v>4882</v>
      </c>
      <c r="D6594" s="8" t="str">
        <f>"9781781388273"</f>
        <v>9781781388273</v>
      </c>
    </row>
    <row r="6595" spans="1:4" x14ac:dyDescent="0.25">
      <c r="A6595" s="7" t="s">
        <v>1349</v>
      </c>
      <c r="B6595" s="8" t="s">
        <v>1350</v>
      </c>
      <c r="C6595" s="8" t="s">
        <v>1345</v>
      </c>
      <c r="D6595" s="8" t="str">
        <f>"9783899589597"</f>
        <v>9783899589597</v>
      </c>
    </row>
    <row r="6596" spans="1:4" x14ac:dyDescent="0.25">
      <c r="A6596" s="7" t="s">
        <v>14339</v>
      </c>
      <c r="B6596" s="8" t="s">
        <v>14340</v>
      </c>
      <c r="C6596" s="8" t="s">
        <v>1342</v>
      </c>
      <c r="D6596" s="8" t="str">
        <f>"9789633864791"</f>
        <v>9789633864791</v>
      </c>
    </row>
    <row r="6597" spans="1:4" ht="30" x14ac:dyDescent="0.25">
      <c r="A6597" s="7" t="s">
        <v>474</v>
      </c>
      <c r="B6597" s="8" t="s">
        <v>475</v>
      </c>
      <c r="C6597" s="8" t="s">
        <v>316</v>
      </c>
      <c r="D6597" s="8" t="str">
        <f>"9783110222142"</f>
        <v>9783110222142</v>
      </c>
    </row>
    <row r="6598" spans="1:4" x14ac:dyDescent="0.25">
      <c r="A6598" s="7" t="s">
        <v>10090</v>
      </c>
      <c r="B6598" s="8" t="s">
        <v>10091</v>
      </c>
      <c r="C6598" s="8" t="s">
        <v>993</v>
      </c>
      <c r="D6598" s="8" t="str">
        <f>"9783839432846"</f>
        <v>9783839432846</v>
      </c>
    </row>
    <row r="6599" spans="1:4" x14ac:dyDescent="0.25">
      <c r="A6599" s="7" t="s">
        <v>10653</v>
      </c>
      <c r="B6599" s="8" t="s">
        <v>10654</v>
      </c>
      <c r="C6599" s="8" t="s">
        <v>1342</v>
      </c>
      <c r="D6599" s="8" t="str">
        <f>"9789633864524"</f>
        <v>9789633864524</v>
      </c>
    </row>
    <row r="6600" spans="1:4" x14ac:dyDescent="0.25">
      <c r="A6600" s="7" t="s">
        <v>6601</v>
      </c>
      <c r="B6600" s="8" t="s">
        <v>6602</v>
      </c>
      <c r="C6600" s="8" t="s">
        <v>1879</v>
      </c>
      <c r="D6600" s="8" t="str">
        <f>"9781800640733"</f>
        <v>9781800640733</v>
      </c>
    </row>
    <row r="6601" spans="1:4" ht="30" x14ac:dyDescent="0.25">
      <c r="A6601" s="7" t="s">
        <v>11160</v>
      </c>
      <c r="B6601" s="8" t="s">
        <v>5002</v>
      </c>
      <c r="C6601" s="8" t="s">
        <v>355</v>
      </c>
      <c r="D6601" s="8" t="str">
        <f>"9783110703443"</f>
        <v>9783110703443</v>
      </c>
    </row>
    <row r="6602" spans="1:4" x14ac:dyDescent="0.25">
      <c r="A6602" s="7" t="s">
        <v>6998</v>
      </c>
      <c r="B6602" s="8" t="s">
        <v>6999</v>
      </c>
      <c r="C6602" s="8" t="s">
        <v>355</v>
      </c>
      <c r="D6602" s="8" t="str">
        <f>"9783110615630"</f>
        <v>9783110615630</v>
      </c>
    </row>
    <row r="6603" spans="1:4" x14ac:dyDescent="0.25">
      <c r="A6603" s="7" t="s">
        <v>9595</v>
      </c>
      <c r="B6603" s="8" t="s">
        <v>9596</v>
      </c>
      <c r="C6603" s="8" t="s">
        <v>2273</v>
      </c>
      <c r="D6603" s="8" t="str">
        <f>"9783030920227"</f>
        <v>9783030920227</v>
      </c>
    </row>
    <row r="6604" spans="1:4" x14ac:dyDescent="0.25">
      <c r="A6604" s="7" t="s">
        <v>3028</v>
      </c>
      <c r="B6604" s="8" t="s">
        <v>3029</v>
      </c>
      <c r="C6604" s="8" t="s">
        <v>1345</v>
      </c>
      <c r="D6604" s="8" t="str">
        <f>"9783737602556"</f>
        <v>9783737602556</v>
      </c>
    </row>
    <row r="6605" spans="1:4" x14ac:dyDescent="0.25">
      <c r="A6605" s="7" t="s">
        <v>4776</v>
      </c>
      <c r="B6605" s="8" t="s">
        <v>4777</v>
      </c>
      <c r="C6605" s="8" t="s">
        <v>1865</v>
      </c>
      <c r="D6605" s="8" t="str">
        <f>"9789179299248"</f>
        <v>9789179299248</v>
      </c>
    </row>
    <row r="6606" spans="1:4" ht="30" x14ac:dyDescent="0.25">
      <c r="A6606" s="7" t="s">
        <v>11464</v>
      </c>
      <c r="B6606" s="8" t="s">
        <v>11465</v>
      </c>
      <c r="C6606" s="8" t="s">
        <v>7011</v>
      </c>
      <c r="D6606" s="8" t="str">
        <f>"9783422986398"</f>
        <v>9783422986398</v>
      </c>
    </row>
    <row r="6607" spans="1:4" ht="30" x14ac:dyDescent="0.25">
      <c r="A6607" s="7" t="s">
        <v>14408</v>
      </c>
      <c r="B6607" s="8" t="s">
        <v>14409</v>
      </c>
      <c r="C6607" s="8" t="s">
        <v>1865</v>
      </c>
      <c r="D6607" s="8" t="str">
        <f>"9789179290108"</f>
        <v>9789179290108</v>
      </c>
    </row>
    <row r="6608" spans="1:4" ht="30" x14ac:dyDescent="0.25">
      <c r="A6608" s="7" t="s">
        <v>9292</v>
      </c>
      <c r="B6608" s="8" t="s">
        <v>9293</v>
      </c>
      <c r="C6608" s="8" t="s">
        <v>9256</v>
      </c>
      <c r="D6608" s="8" t="str">
        <f>"9788021093652"</f>
        <v>9788021093652</v>
      </c>
    </row>
    <row r="6609" spans="1:4" x14ac:dyDescent="0.25">
      <c r="A6609" s="7" t="s">
        <v>14209</v>
      </c>
      <c r="B6609" s="8" t="s">
        <v>14210</v>
      </c>
      <c r="C6609" s="8" t="s">
        <v>9256</v>
      </c>
      <c r="D6609" s="8" t="str">
        <f>"9788028001018"</f>
        <v>9788028001018</v>
      </c>
    </row>
    <row r="6610" spans="1:4" x14ac:dyDescent="0.25">
      <c r="A6610" s="7" t="s">
        <v>4003</v>
      </c>
      <c r="B6610" s="8" t="s">
        <v>4004</v>
      </c>
      <c r="C6610" s="8" t="s">
        <v>1345</v>
      </c>
      <c r="D6610" s="8" t="str">
        <f>"9783737604871"</f>
        <v>9783737604871</v>
      </c>
    </row>
    <row r="6611" spans="1:4" x14ac:dyDescent="0.25">
      <c r="A6611" s="7" t="s">
        <v>804</v>
      </c>
      <c r="B6611" s="8" t="s">
        <v>805</v>
      </c>
      <c r="C6611" s="8" t="s">
        <v>355</v>
      </c>
      <c r="D6611" s="8" t="str">
        <f>"9783110368147"</f>
        <v>9783110368147</v>
      </c>
    </row>
    <row r="6612" spans="1:4" x14ac:dyDescent="0.25">
      <c r="A6612" s="7" t="s">
        <v>12195</v>
      </c>
      <c r="B6612" s="8" t="s">
        <v>12196</v>
      </c>
      <c r="C6612" s="8" t="s">
        <v>2273</v>
      </c>
      <c r="D6612" s="8" t="str">
        <f>"9783030970123"</f>
        <v>9783030970123</v>
      </c>
    </row>
    <row r="6613" spans="1:4" x14ac:dyDescent="0.25">
      <c r="A6613" s="7" t="s">
        <v>1304</v>
      </c>
      <c r="B6613" s="8" t="s">
        <v>1305</v>
      </c>
      <c r="C6613" s="8" t="s">
        <v>1224</v>
      </c>
      <c r="D6613" s="8" t="str">
        <f>"9781618116895"</f>
        <v>9781618116895</v>
      </c>
    </row>
    <row r="6614" spans="1:4" x14ac:dyDescent="0.25">
      <c r="A6614" s="7" t="s">
        <v>9564</v>
      </c>
      <c r="B6614" s="8" t="s">
        <v>9565</v>
      </c>
      <c r="C6614" s="8" t="s">
        <v>1224</v>
      </c>
      <c r="D6614" s="8" t="str">
        <f>"9781644698303"</f>
        <v>9781644698303</v>
      </c>
    </row>
    <row r="6615" spans="1:4" x14ac:dyDescent="0.25">
      <c r="A6615" s="7" t="s">
        <v>1306</v>
      </c>
      <c r="B6615" s="8" t="s">
        <v>1307</v>
      </c>
      <c r="C6615" s="8" t="s">
        <v>1224</v>
      </c>
      <c r="D6615" s="8" t="str">
        <f>"9781618112590"</f>
        <v>9781618112590</v>
      </c>
    </row>
    <row r="6616" spans="1:4" x14ac:dyDescent="0.25">
      <c r="A6616" s="7" t="s">
        <v>747</v>
      </c>
      <c r="B6616" s="8" t="s">
        <v>748</v>
      </c>
      <c r="C6616" s="8" t="s">
        <v>355</v>
      </c>
      <c r="D6616" s="8" t="str">
        <f>"9788376560328"</f>
        <v>9788376560328</v>
      </c>
    </row>
    <row r="6617" spans="1:4" x14ac:dyDescent="0.25">
      <c r="A6617" s="7" t="s">
        <v>1292</v>
      </c>
      <c r="B6617" s="8" t="s">
        <v>1293</v>
      </c>
      <c r="C6617" s="8" t="s">
        <v>1224</v>
      </c>
      <c r="D6617" s="8" t="str">
        <f>"9781618116994"</f>
        <v>9781618116994</v>
      </c>
    </row>
    <row r="6618" spans="1:4" x14ac:dyDescent="0.25">
      <c r="A6618" s="7" t="s">
        <v>8683</v>
      </c>
      <c r="B6618" s="8" t="s">
        <v>8684</v>
      </c>
      <c r="C6618" s="8" t="s">
        <v>2273</v>
      </c>
      <c r="D6618" s="8" t="str">
        <f>"9783030774516"</f>
        <v>9783030774516</v>
      </c>
    </row>
    <row r="6619" spans="1:4" x14ac:dyDescent="0.25">
      <c r="A6619" s="7" t="s">
        <v>6209</v>
      </c>
      <c r="B6619" s="8" t="s">
        <v>6210</v>
      </c>
      <c r="C6619" s="8" t="s">
        <v>2273</v>
      </c>
      <c r="D6619" s="8" t="str">
        <f>"9783319697901"</f>
        <v>9783319697901</v>
      </c>
    </row>
    <row r="6620" spans="1:4" ht="45" x14ac:dyDescent="0.25">
      <c r="A6620" s="7" t="s">
        <v>1525</v>
      </c>
      <c r="B6620" s="8" t="s">
        <v>1526</v>
      </c>
      <c r="C6620" s="8" t="s">
        <v>1345</v>
      </c>
      <c r="D6620" s="8" t="str">
        <f>"9783862192496"</f>
        <v>9783862192496</v>
      </c>
    </row>
    <row r="6621" spans="1:4" ht="30" x14ac:dyDescent="0.25">
      <c r="A6621" s="7" t="s">
        <v>8605</v>
      </c>
      <c r="B6621" s="8" t="s">
        <v>8606</v>
      </c>
      <c r="C6621" s="8" t="s">
        <v>5134</v>
      </c>
      <c r="D6621" s="8" t="str">
        <f>"9783662620441"</f>
        <v>9783662620441</v>
      </c>
    </row>
    <row r="6622" spans="1:4" x14ac:dyDescent="0.25">
      <c r="A6622" s="7" t="s">
        <v>10357</v>
      </c>
      <c r="B6622" s="8" t="s">
        <v>10358</v>
      </c>
      <c r="C6622" s="8" t="s">
        <v>993</v>
      </c>
      <c r="D6622" s="8" t="str">
        <f>"9783839451595"</f>
        <v>9783839451595</v>
      </c>
    </row>
    <row r="6623" spans="1:4" ht="30" x14ac:dyDescent="0.25">
      <c r="A6623" s="7" t="s">
        <v>11480</v>
      </c>
      <c r="B6623" s="8" t="s">
        <v>11481</v>
      </c>
      <c r="C6623" s="8" t="s">
        <v>355</v>
      </c>
      <c r="D6623" s="8" t="str">
        <f>"9783111383057"</f>
        <v>9783111383057</v>
      </c>
    </row>
    <row r="6624" spans="1:4" x14ac:dyDescent="0.25">
      <c r="A6624" s="7" t="s">
        <v>4774</v>
      </c>
      <c r="B6624" s="8" t="s">
        <v>4775</v>
      </c>
      <c r="C6624" s="8" t="s">
        <v>562</v>
      </c>
      <c r="D6624" s="8" t="str">
        <f>"9781478005667"</f>
        <v>9781478005667</v>
      </c>
    </row>
    <row r="6625" spans="1:4" ht="30" x14ac:dyDescent="0.25">
      <c r="A6625" s="7" t="s">
        <v>7015</v>
      </c>
      <c r="B6625" s="8" t="s">
        <v>888</v>
      </c>
      <c r="C6625" s="8" t="s">
        <v>355</v>
      </c>
      <c r="D6625" s="8" t="str">
        <f>"9783110629156"</f>
        <v>9783110629156</v>
      </c>
    </row>
    <row r="6626" spans="1:4" ht="30" x14ac:dyDescent="0.25">
      <c r="A6626" s="7" t="s">
        <v>15057</v>
      </c>
      <c r="B6626" s="8" t="s">
        <v>15058</v>
      </c>
      <c r="C6626" s="8" t="s">
        <v>1865</v>
      </c>
      <c r="D6626" s="8" t="str">
        <f>"9789173939584"</f>
        <v>9789173939584</v>
      </c>
    </row>
    <row r="6627" spans="1:4" x14ac:dyDescent="0.25">
      <c r="A6627" s="7" t="s">
        <v>5299</v>
      </c>
      <c r="B6627" s="8" t="s">
        <v>5300</v>
      </c>
      <c r="C6627" s="8" t="s">
        <v>2273</v>
      </c>
      <c r="D6627" s="8" t="str">
        <f>"9783319255590"</f>
        <v>9783319255590</v>
      </c>
    </row>
    <row r="6628" spans="1:4" x14ac:dyDescent="0.25">
      <c r="A6628" s="7" t="s">
        <v>5642</v>
      </c>
      <c r="B6628" s="8" t="s">
        <v>76</v>
      </c>
      <c r="C6628" s="8" t="s">
        <v>2273</v>
      </c>
      <c r="D6628" s="8" t="str">
        <f>"9783319951294"</f>
        <v>9783319951294</v>
      </c>
    </row>
    <row r="6629" spans="1:4" x14ac:dyDescent="0.25">
      <c r="A6629" s="7" t="s">
        <v>6364</v>
      </c>
      <c r="B6629" s="8" t="s">
        <v>6365</v>
      </c>
      <c r="C6629" s="8" t="s">
        <v>2273</v>
      </c>
      <c r="D6629" s="8" t="str">
        <f>"9783030570316"</f>
        <v>9783030570316</v>
      </c>
    </row>
    <row r="6630" spans="1:4" x14ac:dyDescent="0.25">
      <c r="A6630" s="7" t="s">
        <v>15612</v>
      </c>
      <c r="B6630" s="8" t="s">
        <v>15613</v>
      </c>
      <c r="C6630" s="8" t="s">
        <v>1865</v>
      </c>
      <c r="D6630" s="8" t="str">
        <f>"9789179295028"</f>
        <v>9789179295028</v>
      </c>
    </row>
    <row r="6631" spans="1:4" x14ac:dyDescent="0.25">
      <c r="A6631" s="7" t="s">
        <v>6025</v>
      </c>
      <c r="B6631" s="8" t="s">
        <v>6026</v>
      </c>
      <c r="C6631" s="8" t="s">
        <v>4245</v>
      </c>
      <c r="D6631" s="8" t="str">
        <f>"9789811052699"</f>
        <v>9789811052699</v>
      </c>
    </row>
    <row r="6632" spans="1:4" ht="30" x14ac:dyDescent="0.25">
      <c r="A6632" s="7" t="s">
        <v>5079</v>
      </c>
      <c r="B6632" s="8" t="s">
        <v>5080</v>
      </c>
      <c r="C6632" s="8" t="s">
        <v>1879</v>
      </c>
      <c r="D6632" s="8" t="str">
        <f>"9781783746958"</f>
        <v>9781783746958</v>
      </c>
    </row>
    <row r="6633" spans="1:4" x14ac:dyDescent="0.25">
      <c r="A6633" s="7" t="s">
        <v>7563</v>
      </c>
      <c r="B6633" s="8" t="s">
        <v>7564</v>
      </c>
      <c r="C6633" s="8" t="s">
        <v>993</v>
      </c>
      <c r="D6633" s="8" t="str">
        <f>"9783839416044"</f>
        <v>9783839416044</v>
      </c>
    </row>
    <row r="6634" spans="1:4" x14ac:dyDescent="0.25">
      <c r="A6634" s="7" t="s">
        <v>11782</v>
      </c>
      <c r="B6634" s="8" t="s">
        <v>11783</v>
      </c>
      <c r="C6634" s="8" t="s">
        <v>355</v>
      </c>
      <c r="D6634" s="8" t="str">
        <f>"9783486594164"</f>
        <v>9783486594164</v>
      </c>
    </row>
    <row r="6635" spans="1:4" x14ac:dyDescent="0.25">
      <c r="A6635" s="7" t="s">
        <v>3704</v>
      </c>
      <c r="B6635" s="8" t="s">
        <v>3705</v>
      </c>
      <c r="C6635" s="8" t="s">
        <v>1345</v>
      </c>
      <c r="D6635" s="8" t="str">
        <f>"9783737604352"</f>
        <v>9783737604352</v>
      </c>
    </row>
    <row r="6636" spans="1:4" ht="30" x14ac:dyDescent="0.25">
      <c r="A6636" s="7" t="s">
        <v>2947</v>
      </c>
      <c r="B6636" s="8" t="s">
        <v>2948</v>
      </c>
      <c r="C6636" s="8" t="s">
        <v>1865</v>
      </c>
      <c r="D6636" s="8" t="str">
        <f>"9789176856437"</f>
        <v>9789176856437</v>
      </c>
    </row>
    <row r="6637" spans="1:4" x14ac:dyDescent="0.25">
      <c r="A6637" s="7" t="s">
        <v>11120</v>
      </c>
      <c r="B6637" s="8" t="s">
        <v>11121</v>
      </c>
      <c r="C6637" s="8" t="s">
        <v>6707</v>
      </c>
      <c r="D6637" s="8" t="str">
        <f>"9780472901456"</f>
        <v>9780472901456</v>
      </c>
    </row>
    <row r="6638" spans="1:4" ht="30" x14ac:dyDescent="0.25">
      <c r="A6638" s="7" t="s">
        <v>15697</v>
      </c>
      <c r="B6638" s="8" t="s">
        <v>15698</v>
      </c>
      <c r="C6638" s="8" t="s">
        <v>1865</v>
      </c>
      <c r="D6638" s="8" t="str">
        <f>"9789197727532"</f>
        <v>9789197727532</v>
      </c>
    </row>
    <row r="6639" spans="1:4" x14ac:dyDescent="0.25">
      <c r="A6639" s="7" t="s">
        <v>15946</v>
      </c>
      <c r="B6639" s="8" t="s">
        <v>15947</v>
      </c>
      <c r="C6639" s="8" t="s">
        <v>1865</v>
      </c>
      <c r="D6639" s="8" t="str">
        <f>"9789176856673"</f>
        <v>9789176856673</v>
      </c>
    </row>
    <row r="6640" spans="1:4" x14ac:dyDescent="0.25">
      <c r="A6640" s="7" t="s">
        <v>15364</v>
      </c>
      <c r="B6640" s="8" t="s">
        <v>14523</v>
      </c>
      <c r="C6640" s="8" t="s">
        <v>1865</v>
      </c>
      <c r="D6640" s="8" t="str">
        <f>"9789176855560"</f>
        <v>9789176855560</v>
      </c>
    </row>
    <row r="6641" spans="1:4" x14ac:dyDescent="0.25">
      <c r="A6641" s="7" t="s">
        <v>252</v>
      </c>
      <c r="B6641" s="8" t="s">
        <v>253</v>
      </c>
      <c r="C6641" s="8" t="s">
        <v>227</v>
      </c>
      <c r="D6641" s="8" t="str">
        <f>"9781847790545"</f>
        <v>9781847790545</v>
      </c>
    </row>
    <row r="6642" spans="1:4" x14ac:dyDescent="0.25">
      <c r="A6642" s="7" t="s">
        <v>7302</v>
      </c>
      <c r="B6642" s="8" t="s">
        <v>7303</v>
      </c>
      <c r="C6642" s="8" t="s">
        <v>2273</v>
      </c>
      <c r="D6642" s="8" t="str">
        <f>"9783030750312"</f>
        <v>9783030750312</v>
      </c>
    </row>
    <row r="6643" spans="1:4" x14ac:dyDescent="0.25">
      <c r="A6643" s="7" t="s">
        <v>7806</v>
      </c>
      <c r="B6643" s="8" t="s">
        <v>7807</v>
      </c>
      <c r="C6643" s="8" t="s">
        <v>2082</v>
      </c>
      <c r="D6643" s="8" t="str">
        <f>"9780472901241"</f>
        <v>9780472901241</v>
      </c>
    </row>
    <row r="6644" spans="1:4" x14ac:dyDescent="0.25">
      <c r="A6644" s="7" t="s">
        <v>14184</v>
      </c>
      <c r="B6644" s="8" t="s">
        <v>14185</v>
      </c>
      <c r="C6644" s="8" t="s">
        <v>9256</v>
      </c>
      <c r="D6644" s="8" t="str">
        <f>"9788021098763"</f>
        <v>9788021098763</v>
      </c>
    </row>
    <row r="6645" spans="1:4" x14ac:dyDescent="0.25">
      <c r="A6645" s="7" t="s">
        <v>6198</v>
      </c>
      <c r="B6645" s="8" t="s">
        <v>6122</v>
      </c>
      <c r="C6645" s="8" t="s">
        <v>5134</v>
      </c>
      <c r="D6645" s="8" t="str">
        <f>"9783642369049"</f>
        <v>9783642369049</v>
      </c>
    </row>
    <row r="6646" spans="1:4" x14ac:dyDescent="0.25">
      <c r="A6646" s="7" t="s">
        <v>6121</v>
      </c>
      <c r="B6646" s="8" t="s">
        <v>6122</v>
      </c>
      <c r="C6646" s="8" t="s">
        <v>2273</v>
      </c>
      <c r="D6646" s="8" t="str">
        <f>"9783319175423"</f>
        <v>9783319175423</v>
      </c>
    </row>
    <row r="6647" spans="1:4" x14ac:dyDescent="0.25">
      <c r="A6647" s="7" t="s">
        <v>15656</v>
      </c>
      <c r="B6647" s="8" t="s">
        <v>15657</v>
      </c>
      <c r="C6647" s="8" t="s">
        <v>1865</v>
      </c>
      <c r="D6647" s="8" t="str">
        <f>"9789175196992"</f>
        <v>9789175196992</v>
      </c>
    </row>
    <row r="6648" spans="1:4" x14ac:dyDescent="0.25">
      <c r="A6648" s="7" t="s">
        <v>3680</v>
      </c>
      <c r="B6648" s="8" t="s">
        <v>3681</v>
      </c>
      <c r="C6648" s="8" t="s">
        <v>1865</v>
      </c>
      <c r="D6648" s="8" t="str">
        <f>"9789176852880"</f>
        <v>9789176852880</v>
      </c>
    </row>
    <row r="6649" spans="1:4" x14ac:dyDescent="0.25">
      <c r="A6649" s="7" t="s">
        <v>5116</v>
      </c>
      <c r="B6649" s="8" t="s">
        <v>5117</v>
      </c>
      <c r="C6649" s="8" t="s">
        <v>1865</v>
      </c>
      <c r="D6649" s="8" t="str">
        <f>"9789179298180"</f>
        <v>9789179298180</v>
      </c>
    </row>
    <row r="6650" spans="1:4" x14ac:dyDescent="0.25">
      <c r="A6650" s="7" t="s">
        <v>4579</v>
      </c>
      <c r="B6650" s="8" t="s">
        <v>4580</v>
      </c>
      <c r="C6650" s="8" t="s">
        <v>1865</v>
      </c>
      <c r="D6650" s="8" t="str">
        <f>"9789176850497"</f>
        <v>9789176850497</v>
      </c>
    </row>
    <row r="6651" spans="1:4" x14ac:dyDescent="0.25">
      <c r="A6651" s="7" t="s">
        <v>12316</v>
      </c>
      <c r="B6651" s="8" t="s">
        <v>12317</v>
      </c>
      <c r="C6651" s="8" t="s">
        <v>993</v>
      </c>
      <c r="D6651" s="8" t="str">
        <f>"9783839460993"</f>
        <v>9783839460993</v>
      </c>
    </row>
    <row r="6652" spans="1:4" x14ac:dyDescent="0.25">
      <c r="A6652" s="7" t="s">
        <v>9014</v>
      </c>
      <c r="B6652" s="8" t="s">
        <v>9015</v>
      </c>
      <c r="C6652" s="8" t="s">
        <v>562</v>
      </c>
      <c r="D6652" s="8" t="str">
        <f>"9781478092445"</f>
        <v>9781478092445</v>
      </c>
    </row>
    <row r="6653" spans="1:4" x14ac:dyDescent="0.25">
      <c r="A6653" s="7" t="s">
        <v>15083</v>
      </c>
      <c r="B6653" s="8" t="s">
        <v>15084</v>
      </c>
      <c r="C6653" s="8" t="s">
        <v>1865</v>
      </c>
      <c r="D6653" s="8" t="str">
        <f>"9789175197333"</f>
        <v>9789175197333</v>
      </c>
    </row>
    <row r="6654" spans="1:4" x14ac:dyDescent="0.25">
      <c r="A6654" s="7" t="s">
        <v>7075</v>
      </c>
      <c r="B6654" s="8" t="s">
        <v>56</v>
      </c>
      <c r="C6654" s="8" t="s">
        <v>355</v>
      </c>
      <c r="D6654" s="8" t="str">
        <f>"9783110591040"</f>
        <v>9783110591040</v>
      </c>
    </row>
    <row r="6655" spans="1:4" x14ac:dyDescent="0.25">
      <c r="A6655" s="7" t="s">
        <v>3793</v>
      </c>
      <c r="B6655" s="8" t="s">
        <v>101</v>
      </c>
      <c r="C6655" s="8" t="s">
        <v>355</v>
      </c>
      <c r="D6655" s="8" t="str">
        <f>"9783110553321"</f>
        <v>9783110553321</v>
      </c>
    </row>
    <row r="6656" spans="1:4" x14ac:dyDescent="0.25">
      <c r="A6656" s="7" t="s">
        <v>3547</v>
      </c>
      <c r="B6656" s="8" t="s">
        <v>3548</v>
      </c>
      <c r="C6656" s="8" t="s">
        <v>1345</v>
      </c>
      <c r="D6656" s="8" t="str">
        <f>"9783737604130"</f>
        <v>9783737604130</v>
      </c>
    </row>
    <row r="6657" spans="1:4" x14ac:dyDescent="0.25">
      <c r="A6657" s="7" t="s">
        <v>13020</v>
      </c>
      <c r="B6657" s="8" t="s">
        <v>13021</v>
      </c>
      <c r="C6657" s="8" t="s">
        <v>12712</v>
      </c>
      <c r="D6657" s="8" t="str">
        <f>"9783428469321"</f>
        <v>9783428469321</v>
      </c>
    </row>
    <row r="6658" spans="1:4" x14ac:dyDescent="0.25">
      <c r="A6658" s="7" t="s">
        <v>7090</v>
      </c>
      <c r="B6658" s="8" t="s">
        <v>3833</v>
      </c>
      <c r="C6658" s="8" t="s">
        <v>355</v>
      </c>
      <c r="D6658" s="8" t="str">
        <f>"9783110656725"</f>
        <v>9783110656725</v>
      </c>
    </row>
    <row r="6659" spans="1:4" ht="30" x14ac:dyDescent="0.25">
      <c r="A6659" s="7" t="s">
        <v>12271</v>
      </c>
      <c r="B6659" s="8" t="s">
        <v>12272</v>
      </c>
      <c r="C6659" s="8" t="s">
        <v>993</v>
      </c>
      <c r="D6659" s="8" t="str">
        <f>"9783839457054"</f>
        <v>9783839457054</v>
      </c>
    </row>
    <row r="6660" spans="1:4" ht="30" x14ac:dyDescent="0.25">
      <c r="A6660" s="7" t="s">
        <v>13200</v>
      </c>
      <c r="B6660" s="8" t="s">
        <v>13201</v>
      </c>
      <c r="C6660" s="8" t="s">
        <v>12712</v>
      </c>
      <c r="D6660" s="8" t="str">
        <f>"9783428573639"</f>
        <v>9783428573639</v>
      </c>
    </row>
    <row r="6661" spans="1:4" ht="45" x14ac:dyDescent="0.25">
      <c r="A6661" s="7" t="s">
        <v>13202</v>
      </c>
      <c r="B6661" s="8" t="s">
        <v>13201</v>
      </c>
      <c r="C6661" s="8" t="s">
        <v>12712</v>
      </c>
      <c r="D6661" s="8" t="str">
        <f>"9783428573646"</f>
        <v>9783428573646</v>
      </c>
    </row>
    <row r="6662" spans="1:4" x14ac:dyDescent="0.25">
      <c r="A6662" s="7" t="s">
        <v>11896</v>
      </c>
      <c r="B6662" s="8" t="s">
        <v>11897</v>
      </c>
      <c r="C6662" s="8" t="s">
        <v>355</v>
      </c>
      <c r="D6662" s="8" t="str">
        <f>"9783111486345"</f>
        <v>9783111486345</v>
      </c>
    </row>
    <row r="6663" spans="1:4" ht="45" x14ac:dyDescent="0.25">
      <c r="A6663" s="7" t="s">
        <v>11388</v>
      </c>
      <c r="B6663" s="8" t="s">
        <v>11389</v>
      </c>
      <c r="C6663" s="8" t="s">
        <v>355</v>
      </c>
      <c r="D6663" s="8" t="str">
        <f>"9783111431567"</f>
        <v>9783111431567</v>
      </c>
    </row>
    <row r="6664" spans="1:4" ht="45" x14ac:dyDescent="0.25">
      <c r="A6664" s="7" t="s">
        <v>1830</v>
      </c>
      <c r="B6664" s="8" t="s">
        <v>1831</v>
      </c>
      <c r="C6664" s="8" t="s">
        <v>1345</v>
      </c>
      <c r="D6664" s="8" t="str">
        <f>"9783862198436"</f>
        <v>9783862198436</v>
      </c>
    </row>
    <row r="6665" spans="1:4" ht="30" x14ac:dyDescent="0.25">
      <c r="A6665" s="7" t="s">
        <v>1207</v>
      </c>
      <c r="B6665" s="8" t="s">
        <v>1208</v>
      </c>
      <c r="C6665" s="8" t="s">
        <v>355</v>
      </c>
      <c r="D6665" s="8" t="str">
        <f>"9783486840582"</f>
        <v>9783486840582</v>
      </c>
    </row>
    <row r="6666" spans="1:4" ht="30" x14ac:dyDescent="0.25">
      <c r="A6666" s="7" t="s">
        <v>12523</v>
      </c>
      <c r="B6666" s="8" t="s">
        <v>12524</v>
      </c>
      <c r="C6666" s="8" t="s">
        <v>355</v>
      </c>
      <c r="D6666" s="8" t="str">
        <f>"9783110719444"</f>
        <v>9783110719444</v>
      </c>
    </row>
    <row r="6667" spans="1:4" ht="30" x14ac:dyDescent="0.25">
      <c r="A6667" s="7" t="s">
        <v>5022</v>
      </c>
      <c r="B6667" s="8" t="s">
        <v>5023</v>
      </c>
      <c r="C6667" s="8" t="s">
        <v>355</v>
      </c>
      <c r="D6667" s="8" t="str">
        <f>"9783110645422"</f>
        <v>9783110645422</v>
      </c>
    </row>
    <row r="6668" spans="1:4" ht="45" x14ac:dyDescent="0.25">
      <c r="A6668" s="7" t="s">
        <v>10150</v>
      </c>
      <c r="B6668" s="8" t="s">
        <v>10151</v>
      </c>
      <c r="C6668" s="8" t="s">
        <v>993</v>
      </c>
      <c r="D6668" s="8" t="str">
        <f>"9783839440766"</f>
        <v>9783839440766</v>
      </c>
    </row>
    <row r="6669" spans="1:4" ht="30" x14ac:dyDescent="0.25">
      <c r="A6669" s="7" t="s">
        <v>883</v>
      </c>
      <c r="B6669" s="8" t="s">
        <v>884</v>
      </c>
      <c r="C6669" s="8" t="s">
        <v>316</v>
      </c>
      <c r="D6669" s="8" t="str">
        <f>"9783110371345"</f>
        <v>9783110371345</v>
      </c>
    </row>
    <row r="6670" spans="1:4" x14ac:dyDescent="0.25">
      <c r="A6670" s="7" t="s">
        <v>1635</v>
      </c>
      <c r="B6670" s="8" t="s">
        <v>1636</v>
      </c>
      <c r="C6670" s="8" t="s">
        <v>1345</v>
      </c>
      <c r="D6670" s="8" t="str">
        <f>"9783862191314"</f>
        <v>9783862191314</v>
      </c>
    </row>
    <row r="6671" spans="1:4" ht="30" x14ac:dyDescent="0.25">
      <c r="A6671" s="7" t="s">
        <v>6829</v>
      </c>
      <c r="B6671" s="8" t="s">
        <v>6830</v>
      </c>
      <c r="C6671" s="8" t="s">
        <v>5086</v>
      </c>
      <c r="D6671" s="8" t="str">
        <f>"9783658330620"</f>
        <v>9783658330620</v>
      </c>
    </row>
    <row r="6672" spans="1:4" ht="30" x14ac:dyDescent="0.25">
      <c r="A6672" s="7" t="s">
        <v>1652</v>
      </c>
      <c r="B6672" s="8" t="s">
        <v>1653</v>
      </c>
      <c r="C6672" s="8" t="s">
        <v>1345</v>
      </c>
      <c r="D6672" s="8" t="str">
        <f>"9783862194575"</f>
        <v>9783862194575</v>
      </c>
    </row>
    <row r="6673" spans="1:4" x14ac:dyDescent="0.25">
      <c r="A6673" s="7" t="s">
        <v>13396</v>
      </c>
      <c r="B6673" s="8" t="s">
        <v>13397</v>
      </c>
      <c r="C6673" s="8" t="s">
        <v>5086</v>
      </c>
      <c r="D6673" s="8" t="str">
        <f>"9783658388515"</f>
        <v>9783658388515</v>
      </c>
    </row>
    <row r="6674" spans="1:4" ht="30" x14ac:dyDescent="0.25">
      <c r="A6674" s="7" t="s">
        <v>10634</v>
      </c>
      <c r="B6674" s="8" t="s">
        <v>10635</v>
      </c>
      <c r="C6674" s="8" t="s">
        <v>5086</v>
      </c>
      <c r="D6674" s="8" t="str">
        <f>"9783658373924"</f>
        <v>9783658373924</v>
      </c>
    </row>
    <row r="6675" spans="1:4" ht="30" x14ac:dyDescent="0.25">
      <c r="A6675" s="7" t="s">
        <v>10025</v>
      </c>
      <c r="B6675" s="8" t="s">
        <v>10026</v>
      </c>
      <c r="C6675" s="8" t="s">
        <v>993</v>
      </c>
      <c r="D6675" s="8" t="str">
        <f>"9783839410547"</f>
        <v>9783839410547</v>
      </c>
    </row>
    <row r="6676" spans="1:4" ht="30" x14ac:dyDescent="0.25">
      <c r="A6676" s="7" t="s">
        <v>7127</v>
      </c>
      <c r="B6676" s="8" t="s">
        <v>7128</v>
      </c>
      <c r="C6676" s="8" t="s">
        <v>355</v>
      </c>
      <c r="D6676" s="8" t="str">
        <f>"9783110610314"</f>
        <v>9783110610314</v>
      </c>
    </row>
    <row r="6677" spans="1:4" x14ac:dyDescent="0.25">
      <c r="A6677" s="7" t="s">
        <v>13981</v>
      </c>
      <c r="B6677" s="8" t="s">
        <v>82</v>
      </c>
      <c r="C6677" s="8" t="s">
        <v>2273</v>
      </c>
      <c r="D6677" s="8" t="str">
        <f>"9783031157035"</f>
        <v>9783031157035</v>
      </c>
    </row>
    <row r="6678" spans="1:4" ht="30" x14ac:dyDescent="0.25">
      <c r="A6678" s="7" t="s">
        <v>5813</v>
      </c>
      <c r="B6678" s="8" t="s">
        <v>206</v>
      </c>
      <c r="C6678" s="8" t="s">
        <v>2273</v>
      </c>
      <c r="D6678" s="8" t="str">
        <f>"9783319146935"</f>
        <v>9783319146935</v>
      </c>
    </row>
    <row r="6679" spans="1:4" x14ac:dyDescent="0.25">
      <c r="A6679" s="7" t="s">
        <v>3485</v>
      </c>
      <c r="B6679" s="8" t="s">
        <v>3486</v>
      </c>
      <c r="C6679" s="8" t="s">
        <v>1879</v>
      </c>
      <c r="D6679" s="8" t="str">
        <f>"9781783744121"</f>
        <v>9781783744121</v>
      </c>
    </row>
    <row r="6680" spans="1:4" x14ac:dyDescent="0.25">
      <c r="A6680" s="7" t="s">
        <v>12477</v>
      </c>
      <c r="B6680" s="8" t="s">
        <v>12478</v>
      </c>
      <c r="C6680" s="8" t="s">
        <v>1962</v>
      </c>
      <c r="D6680" s="8" t="str">
        <f>"9782759235483"</f>
        <v>9782759235483</v>
      </c>
    </row>
    <row r="6681" spans="1:4" x14ac:dyDescent="0.25">
      <c r="A6681" s="7" t="s">
        <v>7912</v>
      </c>
      <c r="B6681" s="8" t="s">
        <v>7913</v>
      </c>
      <c r="C6681" s="8" t="s">
        <v>1865</v>
      </c>
      <c r="D6681" s="8" t="str">
        <f>"9789179290238"</f>
        <v>9789179290238</v>
      </c>
    </row>
    <row r="6682" spans="1:4" ht="30" x14ac:dyDescent="0.25">
      <c r="A6682" s="7" t="s">
        <v>6753</v>
      </c>
      <c r="B6682" s="8" t="s">
        <v>6754</v>
      </c>
      <c r="C6682" s="8" t="s">
        <v>1036</v>
      </c>
      <c r="D6682" s="8" t="str">
        <f>"9789027260079"</f>
        <v>9789027260079</v>
      </c>
    </row>
    <row r="6683" spans="1:4" ht="30" x14ac:dyDescent="0.25">
      <c r="A6683" s="7" t="s">
        <v>11807</v>
      </c>
      <c r="B6683" s="8" t="s">
        <v>11808</v>
      </c>
      <c r="C6683" s="8" t="s">
        <v>355</v>
      </c>
      <c r="D6683" s="8" t="str">
        <f>"9783110721621"</f>
        <v>9783110721621</v>
      </c>
    </row>
    <row r="6684" spans="1:4" x14ac:dyDescent="0.25">
      <c r="A6684" s="7" t="s">
        <v>12458</v>
      </c>
      <c r="B6684" s="8" t="s">
        <v>12459</v>
      </c>
      <c r="C6684" s="8" t="s">
        <v>329</v>
      </c>
      <c r="D6684" s="8" t="str">
        <f>"9789048543953"</f>
        <v>9789048543953</v>
      </c>
    </row>
    <row r="6685" spans="1:4" x14ac:dyDescent="0.25">
      <c r="A6685" s="7" t="s">
        <v>15361</v>
      </c>
      <c r="B6685" s="8" t="s">
        <v>4164</v>
      </c>
      <c r="C6685" s="8" t="s">
        <v>1865</v>
      </c>
      <c r="D6685" s="8" t="str">
        <f>"9789175193236"</f>
        <v>9789175193236</v>
      </c>
    </row>
    <row r="6686" spans="1:4" x14ac:dyDescent="0.25">
      <c r="A6686" s="7" t="s">
        <v>4163</v>
      </c>
      <c r="B6686" s="8" t="s">
        <v>4164</v>
      </c>
      <c r="C6686" s="8" t="s">
        <v>1865</v>
      </c>
      <c r="D6686" s="8" t="str">
        <f>"9789176852743"</f>
        <v>9789176852743</v>
      </c>
    </row>
    <row r="6687" spans="1:4" x14ac:dyDescent="0.25">
      <c r="A6687" s="7" t="s">
        <v>7034</v>
      </c>
      <c r="B6687" s="8" t="s">
        <v>7035</v>
      </c>
      <c r="C6687" s="8" t="s">
        <v>329</v>
      </c>
      <c r="D6687" s="8" t="str">
        <f>"9789048529056"</f>
        <v>9789048529056</v>
      </c>
    </row>
    <row r="6688" spans="1:4" x14ac:dyDescent="0.25">
      <c r="A6688" s="7" t="s">
        <v>4707</v>
      </c>
      <c r="B6688" s="8" t="s">
        <v>4708</v>
      </c>
      <c r="C6688" s="8" t="s">
        <v>562</v>
      </c>
      <c r="D6688" s="8" t="str">
        <f>"9781478005605"</f>
        <v>9781478005605</v>
      </c>
    </row>
    <row r="6689" spans="1:4" x14ac:dyDescent="0.25">
      <c r="A6689" s="7" t="s">
        <v>5402</v>
      </c>
      <c r="B6689" s="8" t="s">
        <v>5403</v>
      </c>
      <c r="C6689" s="8" t="s">
        <v>2273</v>
      </c>
      <c r="D6689" s="8" t="str">
        <f>"9783030551520"</f>
        <v>9783030551520</v>
      </c>
    </row>
    <row r="6690" spans="1:4" ht="30" x14ac:dyDescent="0.25">
      <c r="A6690" s="7" t="s">
        <v>7850</v>
      </c>
      <c r="B6690" s="8" t="s">
        <v>7851</v>
      </c>
      <c r="C6690" s="8" t="s">
        <v>2082</v>
      </c>
      <c r="D6690" s="8" t="str">
        <f>"9780472901234"</f>
        <v>9780472901234</v>
      </c>
    </row>
    <row r="6691" spans="1:4" x14ac:dyDescent="0.25">
      <c r="A6691" s="7" t="s">
        <v>9242</v>
      </c>
      <c r="B6691" s="8" t="s">
        <v>9243</v>
      </c>
      <c r="C6691" s="8" t="s">
        <v>4245</v>
      </c>
      <c r="D6691" s="8" t="str">
        <f>"9789811697487"</f>
        <v>9789811697487</v>
      </c>
    </row>
    <row r="6692" spans="1:4" ht="30" x14ac:dyDescent="0.25">
      <c r="A6692" s="7" t="s">
        <v>8941</v>
      </c>
      <c r="B6692" s="8" t="s">
        <v>8942</v>
      </c>
      <c r="C6692" s="8" t="s">
        <v>5086</v>
      </c>
      <c r="D6692" s="8" t="str">
        <f>"9783658346980"</f>
        <v>9783658346980</v>
      </c>
    </row>
    <row r="6693" spans="1:4" x14ac:dyDescent="0.25">
      <c r="A6693" s="7" t="s">
        <v>3216</v>
      </c>
      <c r="B6693" s="8" t="s">
        <v>3217</v>
      </c>
      <c r="C6693" s="8" t="s">
        <v>1879</v>
      </c>
      <c r="D6693" s="8" t="str">
        <f>"9781783743209"</f>
        <v>9781783743209</v>
      </c>
    </row>
    <row r="6694" spans="1:4" x14ac:dyDescent="0.25">
      <c r="A6694" s="7" t="s">
        <v>11320</v>
      </c>
      <c r="B6694" s="8" t="s">
        <v>11321</v>
      </c>
      <c r="C6694" s="8" t="s">
        <v>355</v>
      </c>
      <c r="D6694" s="8" t="str">
        <f>"9783111644523"</f>
        <v>9783111644523</v>
      </c>
    </row>
    <row r="6695" spans="1:4" x14ac:dyDescent="0.25">
      <c r="A6695" s="7" t="s">
        <v>5649</v>
      </c>
      <c r="B6695" s="8" t="s">
        <v>5650</v>
      </c>
      <c r="C6695" s="8" t="s">
        <v>2273</v>
      </c>
      <c r="D6695" s="8" t="str">
        <f>"9783319160061"</f>
        <v>9783319160061</v>
      </c>
    </row>
    <row r="6696" spans="1:4" x14ac:dyDescent="0.25">
      <c r="A6696" s="7" t="s">
        <v>14367</v>
      </c>
      <c r="B6696" s="8" t="s">
        <v>14368</v>
      </c>
      <c r="C6696" s="8" t="s">
        <v>1879</v>
      </c>
      <c r="D6696" s="8" t="str">
        <f>"9781800643765"</f>
        <v>9781800643765</v>
      </c>
    </row>
    <row r="6697" spans="1:4" x14ac:dyDescent="0.25">
      <c r="A6697" s="7" t="s">
        <v>9156</v>
      </c>
      <c r="B6697" s="8" t="s">
        <v>9157</v>
      </c>
      <c r="C6697" s="8" t="s">
        <v>1865</v>
      </c>
      <c r="D6697" s="8" t="str">
        <f>"9789179291761"</f>
        <v>9789179291761</v>
      </c>
    </row>
    <row r="6698" spans="1:4" ht="30" x14ac:dyDescent="0.25">
      <c r="A6698" s="7" t="s">
        <v>13742</v>
      </c>
      <c r="B6698" s="8" t="s">
        <v>7418</v>
      </c>
      <c r="C6698" s="8" t="s">
        <v>2273</v>
      </c>
      <c r="D6698" s="8" t="str">
        <f>"9783031166594"</f>
        <v>9783031166594</v>
      </c>
    </row>
    <row r="6699" spans="1:4" ht="30" x14ac:dyDescent="0.25">
      <c r="A6699" s="7" t="s">
        <v>7694</v>
      </c>
      <c r="B6699" s="8" t="s">
        <v>7695</v>
      </c>
      <c r="C6699" s="8" t="s">
        <v>993</v>
      </c>
      <c r="D6699" s="8" t="str">
        <f>"9783839429044"</f>
        <v>9783839429044</v>
      </c>
    </row>
    <row r="6700" spans="1:4" x14ac:dyDescent="0.25">
      <c r="A6700" s="7" t="s">
        <v>3081</v>
      </c>
      <c r="B6700" s="8" t="s">
        <v>3082</v>
      </c>
      <c r="C6700" s="8" t="s">
        <v>1879</v>
      </c>
      <c r="D6700" s="8" t="str">
        <f>"9781783742707"</f>
        <v>9781783742707</v>
      </c>
    </row>
    <row r="6701" spans="1:4" ht="30" x14ac:dyDescent="0.25">
      <c r="A6701" s="7" t="s">
        <v>12367</v>
      </c>
      <c r="B6701" s="8" t="s">
        <v>12368</v>
      </c>
      <c r="C6701" s="8" t="s">
        <v>2273</v>
      </c>
      <c r="D6701" s="8" t="str">
        <f>"9783031093579"</f>
        <v>9783031093579</v>
      </c>
    </row>
    <row r="6702" spans="1:4" x14ac:dyDescent="0.25">
      <c r="A6702" s="7" t="s">
        <v>15624</v>
      </c>
      <c r="B6702" s="8" t="s">
        <v>15244</v>
      </c>
      <c r="C6702" s="8" t="s">
        <v>1865</v>
      </c>
      <c r="D6702" s="8" t="str">
        <f>"9789176859179"</f>
        <v>9789176859179</v>
      </c>
    </row>
    <row r="6703" spans="1:4" x14ac:dyDescent="0.25">
      <c r="A6703" s="7" t="s">
        <v>6407</v>
      </c>
      <c r="B6703" s="8" t="s">
        <v>6408</v>
      </c>
      <c r="C6703" s="8" t="s">
        <v>2273</v>
      </c>
      <c r="D6703" s="8" t="str">
        <f>"9783030105914"</f>
        <v>9783030105914</v>
      </c>
    </row>
    <row r="6704" spans="1:4" x14ac:dyDescent="0.25">
      <c r="A6704" s="7" t="s">
        <v>8586</v>
      </c>
      <c r="B6704" s="8" t="s">
        <v>8587</v>
      </c>
      <c r="C6704" s="8" t="s">
        <v>1865</v>
      </c>
      <c r="D6704" s="8" t="str">
        <f>"9789179290214"</f>
        <v>9789179290214</v>
      </c>
    </row>
    <row r="6705" spans="1:4" x14ac:dyDescent="0.25">
      <c r="A6705" s="7" t="s">
        <v>2539</v>
      </c>
      <c r="B6705" s="8" t="s">
        <v>2540</v>
      </c>
      <c r="C6705" s="8" t="s">
        <v>1865</v>
      </c>
      <c r="D6705" s="8" t="str">
        <f>"9789176858844"</f>
        <v>9789176858844</v>
      </c>
    </row>
    <row r="6706" spans="1:4" x14ac:dyDescent="0.25">
      <c r="A6706" s="7" t="s">
        <v>14298</v>
      </c>
      <c r="B6706" s="8" t="s">
        <v>14299</v>
      </c>
      <c r="C6706" s="8" t="s">
        <v>2274</v>
      </c>
      <c r="D6706" s="8" t="str">
        <f>"9789811958885"</f>
        <v>9789811958885</v>
      </c>
    </row>
    <row r="6707" spans="1:4" x14ac:dyDescent="0.25">
      <c r="A6707" s="7" t="s">
        <v>9098</v>
      </c>
      <c r="B6707" s="8" t="s">
        <v>9099</v>
      </c>
      <c r="C6707" s="8" t="s">
        <v>2273</v>
      </c>
      <c r="D6707" s="8" t="str">
        <f>"9783030894054"</f>
        <v>9783030894054</v>
      </c>
    </row>
    <row r="6708" spans="1:4" ht="30" x14ac:dyDescent="0.25">
      <c r="A6708" s="7" t="s">
        <v>15133</v>
      </c>
      <c r="B6708" s="8" t="s">
        <v>15134</v>
      </c>
      <c r="C6708" s="8" t="s">
        <v>1865</v>
      </c>
      <c r="D6708" s="8" t="str">
        <f>"9789175192369"</f>
        <v>9789175192369</v>
      </c>
    </row>
    <row r="6709" spans="1:4" ht="30" x14ac:dyDescent="0.25">
      <c r="A6709" s="7" t="s">
        <v>5621</v>
      </c>
      <c r="B6709" s="8" t="s">
        <v>5622</v>
      </c>
      <c r="C6709" s="8" t="s">
        <v>5228</v>
      </c>
      <c r="D6709" s="8" t="str">
        <f>"9781137476661"</f>
        <v>9781137476661</v>
      </c>
    </row>
    <row r="6710" spans="1:4" x14ac:dyDescent="0.25">
      <c r="A6710" s="7" t="s">
        <v>2402</v>
      </c>
      <c r="B6710" s="8" t="s">
        <v>2403</v>
      </c>
      <c r="C6710" s="8" t="s">
        <v>329</v>
      </c>
      <c r="D6710" s="8" t="str">
        <f>"9789048515257"</f>
        <v>9789048515257</v>
      </c>
    </row>
    <row r="6711" spans="1:4" x14ac:dyDescent="0.25">
      <c r="A6711" s="7" t="s">
        <v>6811</v>
      </c>
      <c r="B6711" s="8" t="s">
        <v>6812</v>
      </c>
      <c r="C6711" s="8" t="s">
        <v>1342</v>
      </c>
      <c r="D6711" s="8" t="str">
        <f>"9789633863220"</f>
        <v>9789633863220</v>
      </c>
    </row>
    <row r="6712" spans="1:4" x14ac:dyDescent="0.25">
      <c r="A6712" s="7" t="s">
        <v>14356</v>
      </c>
      <c r="B6712" s="8" t="s">
        <v>14357</v>
      </c>
      <c r="C6712" s="8" t="s">
        <v>1879</v>
      </c>
      <c r="D6712" s="8" t="str">
        <f>"9781800647275"</f>
        <v>9781800647275</v>
      </c>
    </row>
    <row r="6713" spans="1:4" ht="30" x14ac:dyDescent="0.25">
      <c r="A6713" s="7" t="s">
        <v>8433</v>
      </c>
      <c r="B6713" s="8" t="s">
        <v>8434</v>
      </c>
      <c r="C6713" s="8" t="s">
        <v>993</v>
      </c>
      <c r="D6713" s="8" t="str">
        <f>"9783839453100"</f>
        <v>9783839453100</v>
      </c>
    </row>
    <row r="6714" spans="1:4" x14ac:dyDescent="0.25">
      <c r="A6714" s="7" t="s">
        <v>10731</v>
      </c>
      <c r="B6714" s="8" t="s">
        <v>10732</v>
      </c>
      <c r="C6714" s="8" t="s">
        <v>1876</v>
      </c>
      <c r="D6714" s="8" t="str">
        <f>"9780980464818"</f>
        <v>9780980464818</v>
      </c>
    </row>
    <row r="6715" spans="1:4" ht="30" x14ac:dyDescent="0.25">
      <c r="A6715" s="7" t="s">
        <v>9585</v>
      </c>
      <c r="B6715" s="8" t="s">
        <v>9586</v>
      </c>
      <c r="C6715" s="8" t="s">
        <v>5086</v>
      </c>
      <c r="D6715" s="8" t="str">
        <f>"9783658333065"</f>
        <v>9783658333065</v>
      </c>
    </row>
    <row r="6716" spans="1:4" x14ac:dyDescent="0.25">
      <c r="A6716" s="7" t="s">
        <v>9973</v>
      </c>
      <c r="B6716" s="8" t="s">
        <v>9974</v>
      </c>
      <c r="C6716" s="8" t="s">
        <v>993</v>
      </c>
      <c r="D6716" s="8" t="str">
        <f>"9783839409251"</f>
        <v>9783839409251</v>
      </c>
    </row>
    <row r="6717" spans="1:4" x14ac:dyDescent="0.25">
      <c r="A6717" s="7" t="s">
        <v>3030</v>
      </c>
      <c r="B6717" s="8" t="s">
        <v>3031</v>
      </c>
      <c r="C6717" s="8" t="s">
        <v>1345</v>
      </c>
      <c r="D6717" s="8" t="str">
        <f>"9783737602532"</f>
        <v>9783737602532</v>
      </c>
    </row>
    <row r="6718" spans="1:4" ht="30" x14ac:dyDescent="0.25">
      <c r="A6718" s="7" t="s">
        <v>11642</v>
      </c>
      <c r="B6718" s="8" t="s">
        <v>11643</v>
      </c>
      <c r="C6718" s="8" t="s">
        <v>355</v>
      </c>
      <c r="D6718" s="8" t="str">
        <f>"9783110681710"</f>
        <v>9783110681710</v>
      </c>
    </row>
    <row r="6719" spans="1:4" ht="30" x14ac:dyDescent="0.25">
      <c r="A6719" s="7" t="s">
        <v>7818</v>
      </c>
      <c r="B6719" s="8" t="s">
        <v>7819</v>
      </c>
      <c r="C6719" s="8" t="s">
        <v>5086</v>
      </c>
      <c r="D6719" s="8" t="str">
        <f>"9783658312794"</f>
        <v>9783658312794</v>
      </c>
    </row>
    <row r="6720" spans="1:4" x14ac:dyDescent="0.25">
      <c r="A6720" s="7" t="s">
        <v>13468</v>
      </c>
      <c r="B6720" s="8" t="s">
        <v>12953</v>
      </c>
      <c r="C6720" s="8" t="s">
        <v>12712</v>
      </c>
      <c r="D6720" s="8" t="str">
        <f>"9783428454143"</f>
        <v>9783428454143</v>
      </c>
    </row>
    <row r="6721" spans="1:4" x14ac:dyDescent="0.25">
      <c r="A6721" s="7" t="s">
        <v>12952</v>
      </c>
      <c r="B6721" s="8" t="s">
        <v>12953</v>
      </c>
      <c r="C6721" s="8" t="s">
        <v>12712</v>
      </c>
      <c r="D6721" s="8" t="str">
        <f>"9783428456482"</f>
        <v>9783428456482</v>
      </c>
    </row>
    <row r="6722" spans="1:4" ht="30" x14ac:dyDescent="0.25">
      <c r="A6722" s="7" t="s">
        <v>14227</v>
      </c>
      <c r="B6722" s="8" t="s">
        <v>14228</v>
      </c>
      <c r="C6722" s="8" t="s">
        <v>9256</v>
      </c>
      <c r="D6722" s="8" t="str">
        <f>"9788028001933"</f>
        <v>9788028001933</v>
      </c>
    </row>
    <row r="6723" spans="1:4" ht="30" x14ac:dyDescent="0.25">
      <c r="A6723" s="7" t="s">
        <v>1607</v>
      </c>
      <c r="B6723" s="8" t="s">
        <v>1608</v>
      </c>
      <c r="C6723" s="8" t="s">
        <v>1345</v>
      </c>
      <c r="D6723" s="8" t="str">
        <f>"9783862191253"</f>
        <v>9783862191253</v>
      </c>
    </row>
    <row r="6724" spans="1:4" x14ac:dyDescent="0.25">
      <c r="A6724" s="7" t="s">
        <v>13420</v>
      </c>
      <c r="B6724" s="8" t="s">
        <v>819</v>
      </c>
      <c r="C6724" s="8" t="s">
        <v>2785</v>
      </c>
      <c r="D6724" s="8" t="str">
        <f>"9789811949531"</f>
        <v>9789811949531</v>
      </c>
    </row>
    <row r="6725" spans="1:4" x14ac:dyDescent="0.25">
      <c r="A6725" s="7" t="s">
        <v>14727</v>
      </c>
      <c r="B6725" s="8" t="s">
        <v>14728</v>
      </c>
      <c r="C6725" s="8" t="s">
        <v>1865</v>
      </c>
      <c r="D6725" s="8" t="str">
        <f>"9789173935876"</f>
        <v>9789173935876</v>
      </c>
    </row>
    <row r="6726" spans="1:4" ht="30" x14ac:dyDescent="0.25">
      <c r="A6726" s="7" t="s">
        <v>3690</v>
      </c>
      <c r="B6726" s="8" t="s">
        <v>3691</v>
      </c>
      <c r="C6726" s="8" t="s">
        <v>1865</v>
      </c>
      <c r="D6726" s="8" t="str">
        <f>"9789176853085"</f>
        <v>9789176853085</v>
      </c>
    </row>
    <row r="6727" spans="1:4" x14ac:dyDescent="0.25">
      <c r="A6727" s="7" t="s">
        <v>5972</v>
      </c>
      <c r="B6727" s="8" t="s">
        <v>5973</v>
      </c>
      <c r="C6727" s="8" t="s">
        <v>2273</v>
      </c>
      <c r="D6727" s="8" t="str">
        <f>"9783319656397"</f>
        <v>9783319656397</v>
      </c>
    </row>
    <row r="6728" spans="1:4" ht="30" x14ac:dyDescent="0.25">
      <c r="A6728" s="7" t="s">
        <v>4620</v>
      </c>
      <c r="B6728" s="8" t="s">
        <v>4621</v>
      </c>
      <c r="C6728" s="8" t="s">
        <v>1865</v>
      </c>
      <c r="D6728" s="8" t="str">
        <f>"9789176850336"</f>
        <v>9789176850336</v>
      </c>
    </row>
    <row r="6729" spans="1:4" x14ac:dyDescent="0.25">
      <c r="A6729" s="7" t="s">
        <v>5240</v>
      </c>
      <c r="B6729" s="8" t="s">
        <v>5241</v>
      </c>
      <c r="C6729" s="8" t="s">
        <v>1865</v>
      </c>
      <c r="D6729" s="8" t="str">
        <f>"9789179297961"</f>
        <v>9789179297961</v>
      </c>
    </row>
    <row r="6730" spans="1:4" x14ac:dyDescent="0.25">
      <c r="A6730" s="7" t="s">
        <v>2860</v>
      </c>
      <c r="B6730" s="8" t="s">
        <v>2861</v>
      </c>
      <c r="C6730" s="8" t="s">
        <v>1865</v>
      </c>
      <c r="D6730" s="8" t="str">
        <f>"9789176856451"</f>
        <v>9789176856451</v>
      </c>
    </row>
    <row r="6731" spans="1:4" x14ac:dyDescent="0.25">
      <c r="A6731" s="7" t="s">
        <v>4956</v>
      </c>
      <c r="B6731" s="8" t="s">
        <v>4957</v>
      </c>
      <c r="C6731" s="8" t="s">
        <v>1865</v>
      </c>
      <c r="D6731" s="8" t="str">
        <f>"9789179299071"</f>
        <v>9789179299071</v>
      </c>
    </row>
    <row r="6732" spans="1:4" x14ac:dyDescent="0.25">
      <c r="A6732" s="7" t="s">
        <v>5670</v>
      </c>
      <c r="B6732" s="8" t="s">
        <v>5671</v>
      </c>
      <c r="C6732" s="8" t="s">
        <v>5214</v>
      </c>
      <c r="D6732" s="8" t="str">
        <f>"9789400775961"</f>
        <v>9789400775961</v>
      </c>
    </row>
    <row r="6733" spans="1:4" ht="45" x14ac:dyDescent="0.25">
      <c r="A6733" s="7" t="s">
        <v>5414</v>
      </c>
      <c r="B6733" s="8" t="s">
        <v>5415</v>
      </c>
      <c r="C6733" s="8" t="s">
        <v>2273</v>
      </c>
      <c r="D6733" s="8" t="str">
        <f>"9783030598334"</f>
        <v>9783030598334</v>
      </c>
    </row>
    <row r="6734" spans="1:4" ht="30" x14ac:dyDescent="0.25">
      <c r="A6734" s="7" t="s">
        <v>11720</v>
      </c>
      <c r="B6734" s="8" t="s">
        <v>11721</v>
      </c>
      <c r="C6734" s="8" t="s">
        <v>355</v>
      </c>
      <c r="D6734" s="8" t="str">
        <f>"9783110726268"</f>
        <v>9783110726268</v>
      </c>
    </row>
    <row r="6735" spans="1:4" x14ac:dyDescent="0.25">
      <c r="A6735" s="7" t="s">
        <v>15500</v>
      </c>
      <c r="B6735" s="8" t="s">
        <v>3197</v>
      </c>
      <c r="C6735" s="8" t="s">
        <v>1865</v>
      </c>
      <c r="D6735" s="8" t="str">
        <f>"9789175191461"</f>
        <v>9789175191461</v>
      </c>
    </row>
    <row r="6736" spans="1:4" x14ac:dyDescent="0.25">
      <c r="A6736" s="7" t="s">
        <v>2030</v>
      </c>
      <c r="B6736" s="8" t="s">
        <v>1978</v>
      </c>
      <c r="C6736" s="8" t="s">
        <v>1962</v>
      </c>
      <c r="D6736" s="8" t="str">
        <f>"9782759207152"</f>
        <v>9782759207152</v>
      </c>
    </row>
    <row r="6737" spans="1:4" ht="30" x14ac:dyDescent="0.25">
      <c r="A6737" s="7" t="s">
        <v>2886</v>
      </c>
      <c r="B6737" s="8" t="s">
        <v>2887</v>
      </c>
      <c r="C6737" s="8" t="s">
        <v>1865</v>
      </c>
      <c r="D6737" s="8" t="str">
        <f>"9789176857045"</f>
        <v>9789176857045</v>
      </c>
    </row>
    <row r="6738" spans="1:4" ht="30" x14ac:dyDescent="0.25">
      <c r="A6738" s="7" t="s">
        <v>7142</v>
      </c>
      <c r="B6738" s="8" t="s">
        <v>4087</v>
      </c>
      <c r="C6738" s="8" t="s">
        <v>355</v>
      </c>
      <c r="D6738" s="8" t="str">
        <f>"9783110688665"</f>
        <v>9783110688665</v>
      </c>
    </row>
    <row r="6739" spans="1:4" x14ac:dyDescent="0.25">
      <c r="A6739" s="7" t="s">
        <v>729</v>
      </c>
      <c r="B6739" s="8" t="s">
        <v>730</v>
      </c>
      <c r="C6739" s="8" t="s">
        <v>316</v>
      </c>
      <c r="D6739" s="8" t="str">
        <f>"9783110328813"</f>
        <v>9783110328813</v>
      </c>
    </row>
    <row r="6740" spans="1:4" x14ac:dyDescent="0.25">
      <c r="A6740" s="7" t="s">
        <v>4844</v>
      </c>
      <c r="B6740" s="8" t="s">
        <v>4845</v>
      </c>
      <c r="C6740" s="8" t="s">
        <v>1865</v>
      </c>
      <c r="D6740" s="8" t="str">
        <f>"9789179299866"</f>
        <v>9789179299866</v>
      </c>
    </row>
    <row r="6741" spans="1:4" x14ac:dyDescent="0.25">
      <c r="A6741" s="7" t="s">
        <v>6767</v>
      </c>
      <c r="B6741" s="8" t="s">
        <v>6768</v>
      </c>
      <c r="C6741" s="8" t="s">
        <v>1865</v>
      </c>
      <c r="D6741" s="8" t="str">
        <f>"9789179296728"</f>
        <v>9789179296728</v>
      </c>
    </row>
    <row r="6742" spans="1:4" x14ac:dyDescent="0.25">
      <c r="A6742" s="7" t="s">
        <v>6012</v>
      </c>
      <c r="B6742" s="8" t="s">
        <v>6013</v>
      </c>
      <c r="C6742" s="8" t="s">
        <v>5484</v>
      </c>
      <c r="D6742" s="8" t="str">
        <f>"9781430260141"</f>
        <v>9781430260141</v>
      </c>
    </row>
    <row r="6743" spans="1:4" x14ac:dyDescent="0.25">
      <c r="A6743" s="7" t="s">
        <v>11898</v>
      </c>
      <c r="B6743" s="8" t="s">
        <v>11899</v>
      </c>
      <c r="C6743" s="8" t="s">
        <v>355</v>
      </c>
      <c r="D6743" s="8" t="str">
        <f>"9783110720303"</f>
        <v>9783110720303</v>
      </c>
    </row>
    <row r="6744" spans="1:4" x14ac:dyDescent="0.25">
      <c r="A6744" s="7" t="s">
        <v>6241</v>
      </c>
      <c r="B6744" s="8" t="s">
        <v>6242</v>
      </c>
      <c r="C6744" s="8" t="s">
        <v>2273</v>
      </c>
      <c r="D6744" s="8" t="str">
        <f>"9783319954202"</f>
        <v>9783319954202</v>
      </c>
    </row>
    <row r="6745" spans="1:4" x14ac:dyDescent="0.25">
      <c r="A6745" s="7" t="s">
        <v>11787</v>
      </c>
      <c r="B6745" s="8" t="s">
        <v>11788</v>
      </c>
      <c r="C6745" s="8" t="s">
        <v>355</v>
      </c>
      <c r="D6745" s="8" t="str">
        <f>"9783110720082"</f>
        <v>9783110720082</v>
      </c>
    </row>
    <row r="6746" spans="1:4" x14ac:dyDescent="0.25">
      <c r="A6746" s="7" t="s">
        <v>15007</v>
      </c>
      <c r="B6746" s="8" t="s">
        <v>15008</v>
      </c>
      <c r="C6746" s="8" t="s">
        <v>1865</v>
      </c>
      <c r="D6746" s="8" t="str">
        <f>"9789175193694"</f>
        <v>9789175193694</v>
      </c>
    </row>
    <row r="6747" spans="1:4" ht="30" x14ac:dyDescent="0.25">
      <c r="A6747" s="7" t="s">
        <v>7727</v>
      </c>
      <c r="B6747" s="8" t="s">
        <v>7728</v>
      </c>
      <c r="C6747" s="8" t="s">
        <v>993</v>
      </c>
      <c r="D6747" s="8" t="str">
        <f>"9783839428504"</f>
        <v>9783839428504</v>
      </c>
    </row>
    <row r="6748" spans="1:4" x14ac:dyDescent="0.25">
      <c r="A6748" s="7" t="s">
        <v>5129</v>
      </c>
      <c r="B6748" s="8" t="s">
        <v>5130</v>
      </c>
      <c r="C6748" s="8" t="s">
        <v>2273</v>
      </c>
      <c r="D6748" s="8" t="str">
        <f>"9783030562823"</f>
        <v>9783030562823</v>
      </c>
    </row>
    <row r="6749" spans="1:4" x14ac:dyDescent="0.25">
      <c r="A6749" s="7" t="s">
        <v>2349</v>
      </c>
      <c r="B6749" s="8" t="s">
        <v>2350</v>
      </c>
      <c r="C6749" s="8" t="s">
        <v>1345</v>
      </c>
      <c r="D6749" s="8" t="str">
        <f>"9783862197958"</f>
        <v>9783862197958</v>
      </c>
    </row>
    <row r="6750" spans="1:4" ht="30" x14ac:dyDescent="0.25">
      <c r="A6750" s="7" t="s">
        <v>7949</v>
      </c>
      <c r="B6750" s="8" t="s">
        <v>7950</v>
      </c>
      <c r="C6750" s="8" t="s">
        <v>1962</v>
      </c>
      <c r="D6750" s="8" t="str">
        <f>"9791097143022"</f>
        <v>9791097143022</v>
      </c>
    </row>
    <row r="6751" spans="1:4" x14ac:dyDescent="0.25">
      <c r="A6751" s="7" t="s">
        <v>4265</v>
      </c>
      <c r="B6751" s="8" t="s">
        <v>4266</v>
      </c>
      <c r="C6751" s="8" t="s">
        <v>1962</v>
      </c>
      <c r="D6751" s="8" t="str">
        <f>"9782759229178"</f>
        <v>9782759229178</v>
      </c>
    </row>
    <row r="6752" spans="1:4" x14ac:dyDescent="0.25">
      <c r="A6752" s="7" t="s">
        <v>4427</v>
      </c>
      <c r="B6752" s="8" t="s">
        <v>4428</v>
      </c>
      <c r="C6752" s="8" t="s">
        <v>1865</v>
      </c>
      <c r="D6752" s="8" t="str">
        <f>"9789176850978"</f>
        <v>9789176850978</v>
      </c>
    </row>
    <row r="6753" spans="1:4" x14ac:dyDescent="0.25">
      <c r="A6753" s="7" t="s">
        <v>1275</v>
      </c>
      <c r="B6753" s="8" t="s">
        <v>1276</v>
      </c>
      <c r="C6753" s="8" t="s">
        <v>1224</v>
      </c>
      <c r="D6753" s="8" t="str">
        <f>"9781618111135"</f>
        <v>9781618111135</v>
      </c>
    </row>
    <row r="6754" spans="1:4" ht="30" x14ac:dyDescent="0.25">
      <c r="A6754" s="7" t="s">
        <v>6813</v>
      </c>
      <c r="B6754" s="8" t="s">
        <v>6814</v>
      </c>
      <c r="C6754" s="8" t="s">
        <v>2273</v>
      </c>
      <c r="D6754" s="8" t="str">
        <f>"9783030641719"</f>
        <v>9783030641719</v>
      </c>
    </row>
    <row r="6755" spans="1:4" ht="30" x14ac:dyDescent="0.25">
      <c r="A6755" s="7" t="s">
        <v>7899</v>
      </c>
      <c r="B6755" s="8" t="s">
        <v>7900</v>
      </c>
      <c r="C6755" s="8" t="s">
        <v>4245</v>
      </c>
      <c r="D6755" s="8" t="str">
        <f>"9789811645785"</f>
        <v>9789811645785</v>
      </c>
    </row>
    <row r="6756" spans="1:4" x14ac:dyDescent="0.25">
      <c r="A6756" s="7" t="s">
        <v>2512</v>
      </c>
      <c r="B6756" s="8" t="s">
        <v>2513</v>
      </c>
      <c r="C6756" s="8" t="s">
        <v>1865</v>
      </c>
      <c r="D6756" s="8" t="str">
        <f>"9789176859537"</f>
        <v>9789176859537</v>
      </c>
    </row>
    <row r="6757" spans="1:4" x14ac:dyDescent="0.25">
      <c r="A6757" s="7" t="s">
        <v>6031</v>
      </c>
      <c r="B6757" s="8" t="s">
        <v>6032</v>
      </c>
      <c r="C6757" s="8" t="s">
        <v>5107</v>
      </c>
      <c r="D6757" s="8" t="str">
        <f>"9784431545897"</f>
        <v>9784431545897</v>
      </c>
    </row>
    <row r="6758" spans="1:4" x14ac:dyDescent="0.25">
      <c r="A6758" s="7" t="s">
        <v>2592</v>
      </c>
      <c r="B6758" s="8" t="s">
        <v>2593</v>
      </c>
      <c r="C6758" s="8" t="s">
        <v>562</v>
      </c>
      <c r="D6758" s="8" t="str">
        <f>"9780822374749"</f>
        <v>9780822374749</v>
      </c>
    </row>
    <row r="6759" spans="1:4" ht="30" x14ac:dyDescent="0.25">
      <c r="A6759" s="7" t="s">
        <v>8930</v>
      </c>
      <c r="B6759" s="8" t="s">
        <v>8931</v>
      </c>
      <c r="C6759" s="8" t="s">
        <v>5086</v>
      </c>
      <c r="D6759" s="8" t="str">
        <f>"9783658357641"</f>
        <v>9783658357641</v>
      </c>
    </row>
    <row r="6760" spans="1:4" ht="30" x14ac:dyDescent="0.25">
      <c r="A6760" s="7" t="s">
        <v>8427</v>
      </c>
      <c r="B6760" s="8" t="s">
        <v>8428</v>
      </c>
      <c r="C6760" s="8" t="s">
        <v>993</v>
      </c>
      <c r="D6760" s="8" t="str">
        <f>"9783839451687"</f>
        <v>9783839451687</v>
      </c>
    </row>
    <row r="6761" spans="1:4" ht="30" x14ac:dyDescent="0.25">
      <c r="A6761" s="7" t="s">
        <v>10505</v>
      </c>
      <c r="B6761" s="8" t="s">
        <v>10506</v>
      </c>
      <c r="C6761" s="8" t="s">
        <v>993</v>
      </c>
      <c r="D6761" s="8" t="str">
        <f>"9783839458402"</f>
        <v>9783839458402</v>
      </c>
    </row>
    <row r="6762" spans="1:4" ht="30" x14ac:dyDescent="0.25">
      <c r="A6762" s="7" t="s">
        <v>10555</v>
      </c>
      <c r="B6762" s="8" t="s">
        <v>10506</v>
      </c>
      <c r="C6762" s="8" t="s">
        <v>993</v>
      </c>
      <c r="D6762" s="8" t="str">
        <f>"9783839459775"</f>
        <v>9783839459775</v>
      </c>
    </row>
    <row r="6763" spans="1:4" x14ac:dyDescent="0.25">
      <c r="A6763" s="7" t="s">
        <v>8823</v>
      </c>
      <c r="B6763" s="8" t="s">
        <v>8816</v>
      </c>
      <c r="C6763" s="8" t="s">
        <v>8805</v>
      </c>
      <c r="D6763" s="8" t="str">
        <f>"9781934831106"</f>
        <v>9781934831106</v>
      </c>
    </row>
    <row r="6764" spans="1:4" x14ac:dyDescent="0.25">
      <c r="A6764" s="7" t="s">
        <v>8815</v>
      </c>
      <c r="B6764" s="8" t="s">
        <v>8816</v>
      </c>
      <c r="C6764" s="8" t="s">
        <v>8805</v>
      </c>
      <c r="D6764" s="8" t="str">
        <f>"9781934831076"</f>
        <v>9781934831076</v>
      </c>
    </row>
    <row r="6765" spans="1:4" x14ac:dyDescent="0.25">
      <c r="A6765" s="7" t="s">
        <v>3923</v>
      </c>
      <c r="B6765" s="8" t="s">
        <v>3924</v>
      </c>
      <c r="C6765" s="8" t="s">
        <v>355</v>
      </c>
      <c r="D6765" s="8" t="str">
        <f>"9783110550887"</f>
        <v>9783110550887</v>
      </c>
    </row>
    <row r="6766" spans="1:4" ht="30" x14ac:dyDescent="0.25">
      <c r="A6766" s="7" t="s">
        <v>3989</v>
      </c>
      <c r="B6766" s="8" t="s">
        <v>3990</v>
      </c>
      <c r="C6766" s="8" t="s">
        <v>1865</v>
      </c>
      <c r="D6766" s="8" t="str">
        <f>"9789176852484"</f>
        <v>9789176852484</v>
      </c>
    </row>
    <row r="6767" spans="1:4" ht="30" x14ac:dyDescent="0.25">
      <c r="A6767" s="7" t="s">
        <v>2522</v>
      </c>
      <c r="B6767" s="8" t="s">
        <v>2523</v>
      </c>
      <c r="C6767" s="8" t="s">
        <v>1865</v>
      </c>
      <c r="D6767" s="8" t="str">
        <f>"9789176858646"</f>
        <v>9789176858646</v>
      </c>
    </row>
    <row r="6768" spans="1:4" x14ac:dyDescent="0.25">
      <c r="A6768" s="7" t="s">
        <v>1288</v>
      </c>
      <c r="B6768" s="8" t="s">
        <v>1289</v>
      </c>
      <c r="C6768" s="8" t="s">
        <v>1224</v>
      </c>
      <c r="D6768" s="8" t="str">
        <f>"9781618116956"</f>
        <v>9781618116956</v>
      </c>
    </row>
    <row r="6769" spans="1:4" ht="30" x14ac:dyDescent="0.25">
      <c r="A6769" s="7" t="s">
        <v>14608</v>
      </c>
      <c r="B6769" s="8" t="s">
        <v>14609</v>
      </c>
      <c r="C6769" s="8" t="s">
        <v>1865</v>
      </c>
      <c r="D6769" s="8" t="str">
        <f>"9789179291204"</f>
        <v>9789179291204</v>
      </c>
    </row>
    <row r="6770" spans="1:4" x14ac:dyDescent="0.25">
      <c r="A6770" s="7" t="s">
        <v>7323</v>
      </c>
      <c r="B6770" s="8" t="s">
        <v>7324</v>
      </c>
      <c r="C6770" s="8" t="s">
        <v>2273</v>
      </c>
      <c r="D6770" s="8" t="str">
        <f>"9783030745868"</f>
        <v>9783030745868</v>
      </c>
    </row>
    <row r="6771" spans="1:4" x14ac:dyDescent="0.25">
      <c r="A6771" s="7" t="s">
        <v>6890</v>
      </c>
      <c r="B6771" s="8" t="s">
        <v>6891</v>
      </c>
      <c r="C6771" s="8" t="s">
        <v>1879</v>
      </c>
      <c r="D6771" s="8" t="str">
        <f>"9781800641006"</f>
        <v>9781800641006</v>
      </c>
    </row>
    <row r="6772" spans="1:4" x14ac:dyDescent="0.25">
      <c r="A6772" s="7" t="s">
        <v>11193</v>
      </c>
      <c r="B6772" s="8" t="s">
        <v>11194</v>
      </c>
      <c r="C6772" s="8" t="s">
        <v>355</v>
      </c>
      <c r="D6772" s="8" t="str">
        <f>"9783110726305"</f>
        <v>9783110726305</v>
      </c>
    </row>
    <row r="6773" spans="1:4" x14ac:dyDescent="0.25">
      <c r="A6773" s="7" t="s">
        <v>7318</v>
      </c>
      <c r="B6773" s="8" t="s">
        <v>5765</v>
      </c>
      <c r="C6773" s="8" t="s">
        <v>2273</v>
      </c>
      <c r="D6773" s="8" t="str">
        <f>"9783030684792"</f>
        <v>9783030684792</v>
      </c>
    </row>
    <row r="6774" spans="1:4" x14ac:dyDescent="0.25">
      <c r="A6774" s="7" t="s">
        <v>10139</v>
      </c>
      <c r="B6774" s="8" t="s">
        <v>10140</v>
      </c>
      <c r="C6774" s="8" t="s">
        <v>993</v>
      </c>
      <c r="D6774" s="8" t="str">
        <f>"9783839439548"</f>
        <v>9783839439548</v>
      </c>
    </row>
    <row r="6775" spans="1:4" x14ac:dyDescent="0.25">
      <c r="A6775" s="7" t="s">
        <v>10574</v>
      </c>
      <c r="B6775" s="8" t="s">
        <v>7176</v>
      </c>
      <c r="C6775" s="8" t="s">
        <v>993</v>
      </c>
      <c r="D6775" s="8" t="str">
        <f>"9783839460412"</f>
        <v>9783839460412</v>
      </c>
    </row>
    <row r="6776" spans="1:4" x14ac:dyDescent="0.25">
      <c r="A6776" s="7" t="s">
        <v>5744</v>
      </c>
      <c r="B6776" s="8" t="s">
        <v>5745</v>
      </c>
      <c r="C6776" s="8" t="s">
        <v>5134</v>
      </c>
      <c r="D6776" s="8" t="str">
        <f>"9783642341380"</f>
        <v>9783642341380</v>
      </c>
    </row>
    <row r="6777" spans="1:4" ht="30" x14ac:dyDescent="0.25">
      <c r="A6777" s="7" t="s">
        <v>9667</v>
      </c>
      <c r="B6777" s="8" t="s">
        <v>9668</v>
      </c>
      <c r="C6777" s="8" t="s">
        <v>993</v>
      </c>
      <c r="D6777" s="8" t="str">
        <f>"9783839400555"</f>
        <v>9783839400555</v>
      </c>
    </row>
    <row r="6778" spans="1:4" ht="30" x14ac:dyDescent="0.25">
      <c r="A6778" s="7" t="s">
        <v>3271</v>
      </c>
      <c r="B6778" s="8" t="s">
        <v>3272</v>
      </c>
      <c r="C6778" s="8" t="s">
        <v>1865</v>
      </c>
      <c r="D6778" s="8" t="str">
        <f>"9789176854631"</f>
        <v>9789176854631</v>
      </c>
    </row>
    <row r="6779" spans="1:4" x14ac:dyDescent="0.25">
      <c r="A6779" s="7" t="s">
        <v>16055</v>
      </c>
      <c r="B6779" s="8" t="s">
        <v>16056</v>
      </c>
      <c r="C6779" s="8" t="s">
        <v>1865</v>
      </c>
      <c r="D6779" s="8" t="str">
        <f>"9789175197517"</f>
        <v>9789175197517</v>
      </c>
    </row>
    <row r="6780" spans="1:4" ht="30" x14ac:dyDescent="0.25">
      <c r="A6780" s="7" t="s">
        <v>15030</v>
      </c>
      <c r="B6780" s="8" t="s">
        <v>15031</v>
      </c>
      <c r="C6780" s="8" t="s">
        <v>1865</v>
      </c>
      <c r="D6780" s="8" t="str">
        <f>"9789175193663"</f>
        <v>9789175193663</v>
      </c>
    </row>
    <row r="6781" spans="1:4" ht="30" x14ac:dyDescent="0.25">
      <c r="A6781" s="7" t="s">
        <v>8170</v>
      </c>
      <c r="B6781" s="8" t="s">
        <v>8171</v>
      </c>
      <c r="C6781" s="8" t="s">
        <v>993</v>
      </c>
      <c r="D6781" s="8" t="str">
        <f>"9783839452004"</f>
        <v>9783839452004</v>
      </c>
    </row>
    <row r="6782" spans="1:4" x14ac:dyDescent="0.25">
      <c r="A6782" s="7" t="s">
        <v>7546</v>
      </c>
      <c r="B6782" s="8" t="s">
        <v>7547</v>
      </c>
      <c r="C6782" s="8" t="s">
        <v>993</v>
      </c>
      <c r="D6782" s="8" t="str">
        <f>"9783839412299"</f>
        <v>9783839412299</v>
      </c>
    </row>
    <row r="6783" spans="1:4" x14ac:dyDescent="0.25">
      <c r="A6783" s="7" t="s">
        <v>1467</v>
      </c>
      <c r="B6783" s="8" t="s">
        <v>1468</v>
      </c>
      <c r="C6783" s="8" t="s">
        <v>1345</v>
      </c>
      <c r="D6783" s="8" t="str">
        <f>"9783862193196"</f>
        <v>9783862193196</v>
      </c>
    </row>
    <row r="6784" spans="1:4" x14ac:dyDescent="0.25">
      <c r="A6784" s="7" t="s">
        <v>14780</v>
      </c>
      <c r="B6784" s="8" t="s">
        <v>5188</v>
      </c>
      <c r="C6784" s="8" t="s">
        <v>1865</v>
      </c>
      <c r="D6784" s="8" t="str">
        <f>"9789176852248"</f>
        <v>9789176852248</v>
      </c>
    </row>
    <row r="6785" spans="1:4" x14ac:dyDescent="0.25">
      <c r="A6785" s="7" t="s">
        <v>14458</v>
      </c>
      <c r="B6785" s="8" t="s">
        <v>14459</v>
      </c>
      <c r="C6785" s="8" t="s">
        <v>1865</v>
      </c>
      <c r="D6785" s="8" t="str">
        <f>"9789179294540"</f>
        <v>9789179294540</v>
      </c>
    </row>
    <row r="6786" spans="1:4" x14ac:dyDescent="0.25">
      <c r="A6786" s="7" t="s">
        <v>9008</v>
      </c>
      <c r="B6786" s="8" t="s">
        <v>9009</v>
      </c>
      <c r="C6786" s="8" t="s">
        <v>1865</v>
      </c>
      <c r="D6786" s="8" t="str">
        <f>"9789179291648"</f>
        <v>9789179291648</v>
      </c>
    </row>
    <row r="6787" spans="1:4" x14ac:dyDescent="0.25">
      <c r="A6787" s="7" t="s">
        <v>3820</v>
      </c>
      <c r="B6787" s="8" t="s">
        <v>3821</v>
      </c>
      <c r="C6787" s="8" t="s">
        <v>355</v>
      </c>
      <c r="D6787" s="8" t="str">
        <f>"9781501511806"</f>
        <v>9781501511806</v>
      </c>
    </row>
    <row r="6788" spans="1:4" ht="30" x14ac:dyDescent="0.25">
      <c r="A6788" s="7" t="s">
        <v>15687</v>
      </c>
      <c r="B6788" s="8" t="s">
        <v>15688</v>
      </c>
      <c r="C6788" s="8" t="s">
        <v>1865</v>
      </c>
      <c r="D6788" s="8" t="str">
        <f>"9789176857670"</f>
        <v>9789176857670</v>
      </c>
    </row>
    <row r="6789" spans="1:4" x14ac:dyDescent="0.25">
      <c r="A6789" s="7" t="s">
        <v>682</v>
      </c>
      <c r="B6789" s="8" t="s">
        <v>667</v>
      </c>
      <c r="C6789" s="8" t="s">
        <v>316</v>
      </c>
      <c r="D6789" s="8" t="str">
        <f>"9783110330571"</f>
        <v>9783110330571</v>
      </c>
    </row>
    <row r="6790" spans="1:4" x14ac:dyDescent="0.25">
      <c r="A6790" s="7" t="s">
        <v>4381</v>
      </c>
      <c r="B6790" s="8" t="s">
        <v>4382</v>
      </c>
      <c r="C6790" s="8" t="s">
        <v>1345</v>
      </c>
      <c r="D6790" s="8" t="str">
        <f>"9783737606196"</f>
        <v>9783737606196</v>
      </c>
    </row>
    <row r="6791" spans="1:4" x14ac:dyDescent="0.25">
      <c r="A6791" s="7" t="s">
        <v>8773</v>
      </c>
      <c r="B6791" s="8" t="s">
        <v>8774</v>
      </c>
      <c r="C6791" s="8" t="s">
        <v>2082</v>
      </c>
      <c r="D6791" s="8" t="str">
        <f>"9780472900336"</f>
        <v>9780472900336</v>
      </c>
    </row>
    <row r="6792" spans="1:4" x14ac:dyDescent="0.25">
      <c r="A6792" s="7" t="s">
        <v>3576</v>
      </c>
      <c r="B6792" s="8" t="s">
        <v>3577</v>
      </c>
      <c r="C6792" s="8" t="s">
        <v>1865</v>
      </c>
      <c r="D6792" s="8" t="str">
        <f>"9789176853740"</f>
        <v>9789176853740</v>
      </c>
    </row>
    <row r="6793" spans="1:4" x14ac:dyDescent="0.25">
      <c r="A6793" s="7" t="s">
        <v>16320</v>
      </c>
      <c r="B6793" s="8" t="s">
        <v>3577</v>
      </c>
      <c r="C6793" s="8" t="s">
        <v>1865</v>
      </c>
      <c r="D6793" s="8" t="str">
        <f>"9789176858790"</f>
        <v>9789176858790</v>
      </c>
    </row>
    <row r="6794" spans="1:4" ht="30" x14ac:dyDescent="0.25">
      <c r="A6794" s="7" t="s">
        <v>14126</v>
      </c>
      <c r="B6794" s="8" t="s">
        <v>14127</v>
      </c>
      <c r="C6794" s="8" t="s">
        <v>2274</v>
      </c>
      <c r="D6794" s="8" t="str">
        <f>"9783031240492"</f>
        <v>9783031240492</v>
      </c>
    </row>
    <row r="6795" spans="1:4" x14ac:dyDescent="0.25">
      <c r="A6795" s="7" t="s">
        <v>802</v>
      </c>
      <c r="B6795" s="8" t="s">
        <v>803</v>
      </c>
      <c r="C6795" s="8" t="s">
        <v>355</v>
      </c>
      <c r="D6795" s="8" t="str">
        <f>"9788376560236"</f>
        <v>9788376560236</v>
      </c>
    </row>
    <row r="6796" spans="1:4" x14ac:dyDescent="0.25">
      <c r="A6796" s="7" t="s">
        <v>12507</v>
      </c>
      <c r="B6796" s="8" t="s">
        <v>12508</v>
      </c>
      <c r="C6796" s="8" t="s">
        <v>2273</v>
      </c>
      <c r="D6796" s="8" t="str">
        <f>"9783031104473"</f>
        <v>9783031104473</v>
      </c>
    </row>
    <row r="6797" spans="1:4" x14ac:dyDescent="0.25">
      <c r="A6797" s="7" t="s">
        <v>5076</v>
      </c>
      <c r="B6797" s="8" t="s">
        <v>5077</v>
      </c>
      <c r="C6797" s="8" t="s">
        <v>1879</v>
      </c>
      <c r="D6797" s="8" t="str">
        <f>"9781783749256"</f>
        <v>9781783749256</v>
      </c>
    </row>
    <row r="6798" spans="1:4" x14ac:dyDescent="0.25">
      <c r="A6798" s="7" t="s">
        <v>5078</v>
      </c>
      <c r="B6798" s="8" t="s">
        <v>5077</v>
      </c>
      <c r="C6798" s="8" t="s">
        <v>1879</v>
      </c>
      <c r="D6798" s="8" t="str">
        <f>"9781800640016"</f>
        <v>9781800640016</v>
      </c>
    </row>
    <row r="6799" spans="1:4" x14ac:dyDescent="0.25">
      <c r="A6799" s="7" t="s">
        <v>2297</v>
      </c>
      <c r="B6799" s="8" t="s">
        <v>2298</v>
      </c>
      <c r="C6799" s="8" t="s">
        <v>355</v>
      </c>
      <c r="D6799" s="8" t="str">
        <f>"9783110450576"</f>
        <v>9783110450576</v>
      </c>
    </row>
    <row r="6800" spans="1:4" ht="30" x14ac:dyDescent="0.25">
      <c r="A6800" s="7" t="s">
        <v>9346</v>
      </c>
      <c r="B6800" s="8" t="s">
        <v>9347</v>
      </c>
      <c r="C6800" s="8" t="s">
        <v>9256</v>
      </c>
      <c r="D6800" s="8" t="str">
        <f>"9788021095922"</f>
        <v>9788021095922</v>
      </c>
    </row>
    <row r="6801" spans="1:4" x14ac:dyDescent="0.25">
      <c r="A6801" s="7" t="s">
        <v>15777</v>
      </c>
      <c r="B6801" s="8" t="s">
        <v>15778</v>
      </c>
      <c r="C6801" s="8" t="s">
        <v>1865</v>
      </c>
      <c r="D6801" s="8" t="str">
        <f>"9789176858875"</f>
        <v>9789176858875</v>
      </c>
    </row>
    <row r="6802" spans="1:4" x14ac:dyDescent="0.25">
      <c r="A6802" s="7" t="s">
        <v>3310</v>
      </c>
      <c r="B6802" s="8" t="s">
        <v>3311</v>
      </c>
      <c r="C6802" s="8" t="s">
        <v>1345</v>
      </c>
      <c r="D6802" s="8" t="str">
        <f>"9783737601931"</f>
        <v>9783737601931</v>
      </c>
    </row>
    <row r="6803" spans="1:4" ht="30" x14ac:dyDescent="0.25">
      <c r="A6803" s="7" t="s">
        <v>6356</v>
      </c>
      <c r="B6803" s="8" t="s">
        <v>6357</v>
      </c>
      <c r="C6803" s="8" t="s">
        <v>1865</v>
      </c>
      <c r="D6803" s="8" t="str">
        <f>"9789179297114"</f>
        <v>9789179297114</v>
      </c>
    </row>
    <row r="6804" spans="1:4" x14ac:dyDescent="0.25">
      <c r="A6804" s="7" t="s">
        <v>3036</v>
      </c>
      <c r="B6804" s="8" t="s">
        <v>3037</v>
      </c>
      <c r="C6804" s="8" t="s">
        <v>1345</v>
      </c>
      <c r="D6804" s="8" t="str">
        <f>"9783737602518"</f>
        <v>9783737602518</v>
      </c>
    </row>
    <row r="6805" spans="1:4" x14ac:dyDescent="0.25">
      <c r="A6805" s="7" t="s">
        <v>16386</v>
      </c>
      <c r="B6805" s="8" t="s">
        <v>15376</v>
      </c>
      <c r="C6805" s="8" t="s">
        <v>1865</v>
      </c>
      <c r="D6805" s="8" t="str">
        <f>"9789175195759"</f>
        <v>9789175195759</v>
      </c>
    </row>
    <row r="6806" spans="1:4" ht="30" x14ac:dyDescent="0.25">
      <c r="A6806" s="7" t="s">
        <v>3034</v>
      </c>
      <c r="B6806" s="8" t="s">
        <v>3035</v>
      </c>
      <c r="C6806" s="8" t="s">
        <v>1345</v>
      </c>
      <c r="D6806" s="8" t="str">
        <f>"9783737602211"</f>
        <v>9783737602211</v>
      </c>
    </row>
    <row r="6807" spans="1:4" x14ac:dyDescent="0.25">
      <c r="A6807" s="7" t="s">
        <v>3592</v>
      </c>
      <c r="B6807" s="8" t="s">
        <v>3593</v>
      </c>
      <c r="C6807" s="8" t="s">
        <v>1865</v>
      </c>
      <c r="D6807" s="8" t="str">
        <f>"9789176853443"</f>
        <v>9789176853443</v>
      </c>
    </row>
    <row r="6808" spans="1:4" x14ac:dyDescent="0.25">
      <c r="A6808" s="7" t="s">
        <v>16053</v>
      </c>
      <c r="B6808" s="8" t="s">
        <v>16054</v>
      </c>
      <c r="C6808" s="8" t="s">
        <v>1865</v>
      </c>
      <c r="D6808" s="8" t="str">
        <f>"9789175194912"</f>
        <v>9789175194912</v>
      </c>
    </row>
    <row r="6809" spans="1:4" x14ac:dyDescent="0.25">
      <c r="A6809" s="7" t="s">
        <v>7007</v>
      </c>
      <c r="B6809" s="8" t="s">
        <v>7008</v>
      </c>
      <c r="C6809" s="8" t="s">
        <v>355</v>
      </c>
      <c r="D6809" s="8" t="str">
        <f>"9783110667219"</f>
        <v>9783110667219</v>
      </c>
    </row>
    <row r="6810" spans="1:4" ht="30" x14ac:dyDescent="0.25">
      <c r="A6810" s="7" t="s">
        <v>15025</v>
      </c>
      <c r="B6810" s="8" t="s">
        <v>15026</v>
      </c>
      <c r="C6810" s="8" t="s">
        <v>1865</v>
      </c>
      <c r="D6810" s="8" t="str">
        <f>"9789175198545"</f>
        <v>9789175198545</v>
      </c>
    </row>
    <row r="6811" spans="1:4" x14ac:dyDescent="0.25">
      <c r="A6811" s="7" t="s">
        <v>14150</v>
      </c>
      <c r="B6811" s="8" t="s">
        <v>14151</v>
      </c>
      <c r="C6811" s="8" t="s">
        <v>2274</v>
      </c>
      <c r="D6811" s="8" t="str">
        <f>"9789811997228"</f>
        <v>9789811997228</v>
      </c>
    </row>
    <row r="6812" spans="1:4" ht="30" x14ac:dyDescent="0.25">
      <c r="A6812" s="7" t="s">
        <v>10375</v>
      </c>
      <c r="B6812" s="8" t="s">
        <v>10376</v>
      </c>
      <c r="C6812" s="8" t="s">
        <v>993</v>
      </c>
      <c r="D6812" s="8" t="str">
        <f>"9783839453407"</f>
        <v>9783839453407</v>
      </c>
    </row>
    <row r="6813" spans="1:4" x14ac:dyDescent="0.25">
      <c r="A6813" s="7" t="s">
        <v>13957</v>
      </c>
      <c r="B6813" s="8" t="s">
        <v>13958</v>
      </c>
      <c r="C6813" s="8" t="s">
        <v>2273</v>
      </c>
      <c r="D6813" s="8" t="str">
        <f>"9783031166709"</f>
        <v>9783031166709</v>
      </c>
    </row>
    <row r="6814" spans="1:4" x14ac:dyDescent="0.25">
      <c r="A6814" s="7" t="s">
        <v>3741</v>
      </c>
      <c r="B6814" s="8" t="s">
        <v>3742</v>
      </c>
      <c r="C6814" s="8" t="s">
        <v>1865</v>
      </c>
      <c r="D6814" s="8" t="str">
        <f>"9789176853184"</f>
        <v>9789176853184</v>
      </c>
    </row>
    <row r="6815" spans="1:4" x14ac:dyDescent="0.25">
      <c r="A6815" s="7" t="s">
        <v>15320</v>
      </c>
      <c r="B6815" s="8" t="s">
        <v>15321</v>
      </c>
      <c r="C6815" s="8" t="s">
        <v>1865</v>
      </c>
      <c r="D6815" s="8" t="str">
        <f>"9789173939300"</f>
        <v>9789173939300</v>
      </c>
    </row>
    <row r="6816" spans="1:4" x14ac:dyDescent="0.25">
      <c r="A6816" s="7" t="s">
        <v>9669</v>
      </c>
      <c r="B6816" s="8" t="s">
        <v>9670</v>
      </c>
      <c r="C6816" s="8" t="s">
        <v>993</v>
      </c>
      <c r="D6816" s="8" t="str">
        <f>"9783839400616"</f>
        <v>9783839400616</v>
      </c>
    </row>
    <row r="6817" spans="1:4" x14ac:dyDescent="0.25">
      <c r="A6817" s="7" t="s">
        <v>10230</v>
      </c>
      <c r="B6817" s="8" t="s">
        <v>10231</v>
      </c>
      <c r="C6817" s="8" t="s">
        <v>993</v>
      </c>
      <c r="D6817" s="8" t="str">
        <f>"9783839445389"</f>
        <v>9783839445389</v>
      </c>
    </row>
    <row r="6818" spans="1:4" x14ac:dyDescent="0.25">
      <c r="A6818" s="7" t="s">
        <v>5774</v>
      </c>
      <c r="B6818" s="8" t="s">
        <v>5775</v>
      </c>
      <c r="C6818" s="8" t="s">
        <v>5214</v>
      </c>
      <c r="D6818" s="8" t="str">
        <f>"9789400759374"</f>
        <v>9789400759374</v>
      </c>
    </row>
    <row r="6819" spans="1:4" x14ac:dyDescent="0.25">
      <c r="A6819" s="7" t="s">
        <v>6376</v>
      </c>
      <c r="B6819" s="8" t="s">
        <v>6377</v>
      </c>
      <c r="C6819" s="8" t="s">
        <v>4245</v>
      </c>
      <c r="D6819" s="8" t="str">
        <f>"9789811583230"</f>
        <v>9789811583230</v>
      </c>
    </row>
    <row r="6820" spans="1:4" x14ac:dyDescent="0.25">
      <c r="A6820" s="7" t="s">
        <v>830</v>
      </c>
      <c r="B6820" s="8" t="s">
        <v>831</v>
      </c>
      <c r="C6820" s="8" t="s">
        <v>562</v>
      </c>
      <c r="D6820" s="8" t="str">
        <f>"9780822377368"</f>
        <v>9780822377368</v>
      </c>
    </row>
    <row r="6821" spans="1:4" x14ac:dyDescent="0.25">
      <c r="A6821" s="7" t="s">
        <v>14522</v>
      </c>
      <c r="B6821" s="8" t="s">
        <v>14523</v>
      </c>
      <c r="C6821" s="8" t="s">
        <v>1865</v>
      </c>
      <c r="D6821" s="8" t="str">
        <f>"9789179291105"</f>
        <v>9789179291105</v>
      </c>
    </row>
    <row r="6822" spans="1:4" x14ac:dyDescent="0.25">
      <c r="A6822" s="7" t="s">
        <v>5508</v>
      </c>
      <c r="B6822" s="8" t="s">
        <v>5509</v>
      </c>
      <c r="C6822" s="8" t="s">
        <v>1036</v>
      </c>
      <c r="D6822" s="8" t="str">
        <f>"9789027262240"</f>
        <v>9789027262240</v>
      </c>
    </row>
    <row r="6823" spans="1:4" ht="30" x14ac:dyDescent="0.25">
      <c r="A6823" s="7" t="s">
        <v>2567</v>
      </c>
      <c r="B6823" s="8" t="s">
        <v>2550</v>
      </c>
      <c r="C6823" s="8" t="s">
        <v>2073</v>
      </c>
      <c r="D6823" s="8" t="str">
        <f>"9781438459189"</f>
        <v>9781438459189</v>
      </c>
    </row>
    <row r="6824" spans="1:4" ht="30" x14ac:dyDescent="0.25">
      <c r="A6824" s="7" t="s">
        <v>9277</v>
      </c>
      <c r="B6824" s="8" t="s">
        <v>9278</v>
      </c>
      <c r="C6824" s="8" t="s">
        <v>9256</v>
      </c>
      <c r="D6824" s="8" t="str">
        <f>"9788021088931"</f>
        <v>9788021088931</v>
      </c>
    </row>
    <row r="6825" spans="1:4" x14ac:dyDescent="0.25">
      <c r="A6825" s="7" t="s">
        <v>9283</v>
      </c>
      <c r="B6825" s="8" t="s">
        <v>141</v>
      </c>
      <c r="C6825" s="8" t="s">
        <v>9256</v>
      </c>
      <c r="D6825" s="8" t="str">
        <f>"9788021091429"</f>
        <v>9788021091429</v>
      </c>
    </row>
    <row r="6826" spans="1:4" x14ac:dyDescent="0.25">
      <c r="A6826" s="7" t="s">
        <v>13425</v>
      </c>
      <c r="B6826" s="8" t="s">
        <v>13426</v>
      </c>
      <c r="C6826" s="8" t="s">
        <v>1865</v>
      </c>
      <c r="D6826" s="8" t="str">
        <f>"9789179294090"</f>
        <v>9789179294090</v>
      </c>
    </row>
    <row r="6827" spans="1:4" x14ac:dyDescent="0.25">
      <c r="A6827" s="7" t="s">
        <v>15173</v>
      </c>
      <c r="B6827" s="8" t="s">
        <v>3166</v>
      </c>
      <c r="C6827" s="8" t="s">
        <v>1865</v>
      </c>
      <c r="D6827" s="8" t="str">
        <f>"9789175191997"</f>
        <v>9789175191997</v>
      </c>
    </row>
    <row r="6828" spans="1:4" x14ac:dyDescent="0.25">
      <c r="A6828" s="7" t="s">
        <v>6803</v>
      </c>
      <c r="B6828" s="8" t="s">
        <v>6804</v>
      </c>
      <c r="C6828" s="8" t="s">
        <v>2273</v>
      </c>
      <c r="D6828" s="8" t="str">
        <f>"9783030658434"</f>
        <v>9783030658434</v>
      </c>
    </row>
    <row r="6829" spans="1:4" x14ac:dyDescent="0.25">
      <c r="A6829" s="7" t="s">
        <v>10786</v>
      </c>
      <c r="B6829" s="8" t="s">
        <v>10787</v>
      </c>
      <c r="C6829" s="8" t="s">
        <v>1876</v>
      </c>
      <c r="D6829" s="8" t="str">
        <f>"9781925377118"</f>
        <v>9781925377118</v>
      </c>
    </row>
    <row r="6830" spans="1:4" x14ac:dyDescent="0.25">
      <c r="A6830" s="7" t="s">
        <v>15676</v>
      </c>
      <c r="B6830" s="8" t="s">
        <v>15677</v>
      </c>
      <c r="C6830" s="8" t="s">
        <v>1865</v>
      </c>
      <c r="D6830" s="8" t="str">
        <f>"9789176855874"</f>
        <v>9789176855874</v>
      </c>
    </row>
    <row r="6831" spans="1:4" ht="60" x14ac:dyDescent="0.25">
      <c r="A6831" s="7" t="s">
        <v>4289</v>
      </c>
      <c r="B6831" s="8" t="s">
        <v>4290</v>
      </c>
      <c r="C6831" s="8" t="s">
        <v>1345</v>
      </c>
      <c r="D6831" s="8" t="str">
        <f>"9783737605519"</f>
        <v>9783737605519</v>
      </c>
    </row>
    <row r="6832" spans="1:4" ht="30" x14ac:dyDescent="0.25">
      <c r="A6832" s="7" t="s">
        <v>6485</v>
      </c>
      <c r="B6832" s="8" t="s">
        <v>6486</v>
      </c>
      <c r="C6832" s="8" t="s">
        <v>2273</v>
      </c>
      <c r="D6832" s="8" t="str">
        <f>"9783030577643"</f>
        <v>9783030577643</v>
      </c>
    </row>
    <row r="6833" spans="1:4" x14ac:dyDescent="0.25">
      <c r="A6833" s="7" t="s">
        <v>11036</v>
      </c>
      <c r="B6833" s="8" t="s">
        <v>11037</v>
      </c>
      <c r="C6833" s="8" t="s">
        <v>2274</v>
      </c>
      <c r="D6833" s="8" t="str">
        <f>"9789811917011"</f>
        <v>9789811917011</v>
      </c>
    </row>
    <row r="6834" spans="1:4" ht="45" x14ac:dyDescent="0.25">
      <c r="A6834" s="7" t="s">
        <v>6697</v>
      </c>
      <c r="B6834" s="8" t="s">
        <v>6698</v>
      </c>
      <c r="C6834" s="8" t="s">
        <v>2273</v>
      </c>
      <c r="D6834" s="8" t="str">
        <f>"9783030726324"</f>
        <v>9783030726324</v>
      </c>
    </row>
    <row r="6835" spans="1:4" ht="45" x14ac:dyDescent="0.25">
      <c r="A6835" s="7" t="s">
        <v>1481</v>
      </c>
      <c r="B6835" s="8" t="s">
        <v>1482</v>
      </c>
      <c r="C6835" s="8" t="s">
        <v>1345</v>
      </c>
      <c r="D6835" s="8" t="str">
        <f>"9783862194414"</f>
        <v>9783862194414</v>
      </c>
    </row>
    <row r="6836" spans="1:4" ht="30" x14ac:dyDescent="0.25">
      <c r="A6836" s="7" t="s">
        <v>9334</v>
      </c>
      <c r="B6836" s="8" t="s">
        <v>9335</v>
      </c>
      <c r="C6836" s="8" t="s">
        <v>9256</v>
      </c>
      <c r="D6836" s="8" t="str">
        <f>"9788021095670"</f>
        <v>9788021095670</v>
      </c>
    </row>
    <row r="6837" spans="1:4" x14ac:dyDescent="0.25">
      <c r="A6837" s="7" t="s">
        <v>12206</v>
      </c>
      <c r="B6837" s="8" t="s">
        <v>12207</v>
      </c>
      <c r="C6837" s="8" t="s">
        <v>2273</v>
      </c>
      <c r="D6837" s="8" t="str">
        <f>"9783031054662"</f>
        <v>9783031054662</v>
      </c>
    </row>
    <row r="6838" spans="1:4" x14ac:dyDescent="0.25">
      <c r="A6838" s="7" t="s">
        <v>9273</v>
      </c>
      <c r="B6838" s="8" t="s">
        <v>9274</v>
      </c>
      <c r="C6838" s="8" t="s">
        <v>9256</v>
      </c>
      <c r="D6838" s="8" t="str">
        <f>"9788021086319"</f>
        <v>9788021086319</v>
      </c>
    </row>
    <row r="6839" spans="1:4" x14ac:dyDescent="0.25">
      <c r="A6839" s="7" t="s">
        <v>14595</v>
      </c>
      <c r="B6839" s="8" t="s">
        <v>14401</v>
      </c>
      <c r="C6839" s="8" t="s">
        <v>1865</v>
      </c>
      <c r="D6839" s="8" t="str">
        <f>"9789179290207"</f>
        <v>9789179290207</v>
      </c>
    </row>
    <row r="6840" spans="1:4" x14ac:dyDescent="0.25">
      <c r="A6840" s="7" t="s">
        <v>7057</v>
      </c>
      <c r="B6840" s="8" t="s">
        <v>7058</v>
      </c>
      <c r="C6840" s="8" t="s">
        <v>355</v>
      </c>
      <c r="D6840" s="8" t="str">
        <f>"9783110671490"</f>
        <v>9783110671490</v>
      </c>
    </row>
    <row r="6841" spans="1:4" ht="30" x14ac:dyDescent="0.25">
      <c r="A6841" s="7" t="s">
        <v>6076</v>
      </c>
      <c r="B6841" s="8" t="s">
        <v>6077</v>
      </c>
      <c r="C6841" s="8" t="s">
        <v>2273</v>
      </c>
      <c r="D6841" s="8" t="str">
        <f>"9783319527550"</f>
        <v>9783319527550</v>
      </c>
    </row>
    <row r="6842" spans="1:4" ht="30" x14ac:dyDescent="0.25">
      <c r="A6842" s="7" t="s">
        <v>10133</v>
      </c>
      <c r="B6842" s="8" t="s">
        <v>10134</v>
      </c>
      <c r="C6842" s="8" t="s">
        <v>993</v>
      </c>
      <c r="D6842" s="8" t="str">
        <f>"9783839438299"</f>
        <v>9783839438299</v>
      </c>
    </row>
    <row r="6843" spans="1:4" ht="30" x14ac:dyDescent="0.25">
      <c r="A6843" s="7" t="s">
        <v>13654</v>
      </c>
      <c r="B6843" s="8" t="s">
        <v>13655</v>
      </c>
      <c r="C6843" s="8" t="s">
        <v>2273</v>
      </c>
      <c r="D6843" s="8" t="str">
        <f>"9783031086519"</f>
        <v>9783031086519</v>
      </c>
    </row>
    <row r="6844" spans="1:4" ht="30" x14ac:dyDescent="0.25">
      <c r="A6844" s="7" t="s">
        <v>3412</v>
      </c>
      <c r="B6844" s="8" t="s">
        <v>3413</v>
      </c>
      <c r="C6844" s="8" t="s">
        <v>1865</v>
      </c>
      <c r="D6844" s="8" t="str">
        <f>"9789176854211"</f>
        <v>9789176854211</v>
      </c>
    </row>
    <row r="6845" spans="1:4" ht="30" x14ac:dyDescent="0.25">
      <c r="A6845" s="7" t="s">
        <v>6489</v>
      </c>
      <c r="B6845" s="8" t="s">
        <v>6490</v>
      </c>
      <c r="C6845" s="8" t="s">
        <v>2273</v>
      </c>
      <c r="D6845" s="8" t="str">
        <f>"9783030525880"</f>
        <v>9783030525880</v>
      </c>
    </row>
    <row r="6846" spans="1:4" x14ac:dyDescent="0.25">
      <c r="A6846" s="7" t="s">
        <v>5619</v>
      </c>
      <c r="B6846" s="8" t="s">
        <v>5620</v>
      </c>
      <c r="C6846" s="8" t="s">
        <v>2273</v>
      </c>
      <c r="D6846" s="8" t="str">
        <f>"9783319296555"</f>
        <v>9783319296555</v>
      </c>
    </row>
    <row r="6847" spans="1:4" x14ac:dyDescent="0.25">
      <c r="A6847" s="7" t="s">
        <v>6791</v>
      </c>
      <c r="B6847" s="8" t="s">
        <v>6792</v>
      </c>
      <c r="C6847" s="8" t="s">
        <v>2273</v>
      </c>
      <c r="D6847" s="8" t="str">
        <f>"9783030673451"</f>
        <v>9783030673451</v>
      </c>
    </row>
    <row r="6848" spans="1:4" x14ac:dyDescent="0.25">
      <c r="A6848" s="7" t="s">
        <v>6862</v>
      </c>
      <c r="B6848" s="8" t="s">
        <v>6863</v>
      </c>
      <c r="C6848" s="8" t="s">
        <v>2273</v>
      </c>
      <c r="D6848" s="8" t="str">
        <f>"9783030703813"</f>
        <v>9783030703813</v>
      </c>
    </row>
    <row r="6849" spans="1:4" x14ac:dyDescent="0.25">
      <c r="A6849" s="7" t="s">
        <v>16311</v>
      </c>
      <c r="B6849" s="8" t="s">
        <v>16312</v>
      </c>
      <c r="C6849" s="8" t="s">
        <v>1865</v>
      </c>
      <c r="D6849" s="8" t="str">
        <f>"9789176856765"</f>
        <v>9789176856765</v>
      </c>
    </row>
    <row r="6850" spans="1:4" x14ac:dyDescent="0.25">
      <c r="A6850" s="7" t="s">
        <v>5479</v>
      </c>
      <c r="B6850" s="8" t="s">
        <v>5480</v>
      </c>
      <c r="C6850" s="8" t="s">
        <v>4245</v>
      </c>
      <c r="D6850" s="8" t="str">
        <f>"9789811518317"</f>
        <v>9789811518317</v>
      </c>
    </row>
    <row r="6851" spans="1:4" x14ac:dyDescent="0.25">
      <c r="A6851" s="7" t="s">
        <v>6807</v>
      </c>
      <c r="B6851" s="8" t="s">
        <v>6808</v>
      </c>
      <c r="C6851" s="8" t="s">
        <v>2273</v>
      </c>
      <c r="D6851" s="8" t="str">
        <f>"9783030574260"</f>
        <v>9783030574260</v>
      </c>
    </row>
    <row r="6852" spans="1:4" x14ac:dyDescent="0.25">
      <c r="A6852" s="7" t="s">
        <v>6681</v>
      </c>
      <c r="B6852" s="8" t="s">
        <v>6682</v>
      </c>
      <c r="C6852" s="8" t="s">
        <v>2273</v>
      </c>
      <c r="D6852" s="8" t="str">
        <f>"9783030514068"</f>
        <v>9783030514068</v>
      </c>
    </row>
    <row r="6853" spans="1:4" x14ac:dyDescent="0.25">
      <c r="A6853" s="7" t="s">
        <v>5526</v>
      </c>
      <c r="B6853" s="8" t="s">
        <v>5527</v>
      </c>
      <c r="C6853" s="8" t="s">
        <v>1865</v>
      </c>
      <c r="D6853" s="8" t="str">
        <f>"9789179297497"</f>
        <v>9789179297497</v>
      </c>
    </row>
    <row r="6854" spans="1:4" x14ac:dyDescent="0.25">
      <c r="A6854" s="7" t="s">
        <v>8928</v>
      </c>
      <c r="B6854" s="8" t="s">
        <v>8929</v>
      </c>
      <c r="C6854" s="8" t="s">
        <v>2273</v>
      </c>
      <c r="D6854" s="8" t="str">
        <f>"9783030840440"</f>
        <v>9783030840440</v>
      </c>
    </row>
    <row r="6855" spans="1:4" x14ac:dyDescent="0.25">
      <c r="A6855" s="7" t="s">
        <v>5890</v>
      </c>
      <c r="B6855" s="8" t="s">
        <v>5891</v>
      </c>
      <c r="C6855" s="8" t="s">
        <v>2273</v>
      </c>
      <c r="D6855" s="8" t="str">
        <f>"9783319215518"</f>
        <v>9783319215518</v>
      </c>
    </row>
    <row r="6856" spans="1:4" x14ac:dyDescent="0.25">
      <c r="A6856" s="7" t="s">
        <v>12067</v>
      </c>
      <c r="B6856" s="8" t="s">
        <v>12068</v>
      </c>
      <c r="C6856" s="8" t="s">
        <v>355</v>
      </c>
      <c r="D6856" s="8" t="str">
        <f>"9788366675612"</f>
        <v>9788366675612</v>
      </c>
    </row>
    <row r="6857" spans="1:4" x14ac:dyDescent="0.25">
      <c r="A6857" s="7" t="s">
        <v>13495</v>
      </c>
      <c r="B6857" s="8" t="s">
        <v>13496</v>
      </c>
      <c r="C6857" s="8" t="s">
        <v>2273</v>
      </c>
      <c r="D6857" s="8" t="str">
        <f>"9783031108655"</f>
        <v>9783031108655</v>
      </c>
    </row>
    <row r="6858" spans="1:4" x14ac:dyDescent="0.25">
      <c r="A6858" s="7" t="s">
        <v>4527</v>
      </c>
      <c r="B6858" s="8" t="s">
        <v>4528</v>
      </c>
      <c r="C6858" s="8" t="s">
        <v>1879</v>
      </c>
      <c r="D6858" s="8" t="str">
        <f>"9781783746705"</f>
        <v>9781783746705</v>
      </c>
    </row>
    <row r="6859" spans="1:4" x14ac:dyDescent="0.25">
      <c r="A6859" s="7" t="s">
        <v>5549</v>
      </c>
      <c r="B6859" s="8" t="s">
        <v>5550</v>
      </c>
      <c r="C6859" s="8" t="s">
        <v>329</v>
      </c>
      <c r="D6859" s="8" t="str">
        <f>"9789048551460"</f>
        <v>9789048551460</v>
      </c>
    </row>
    <row r="6860" spans="1:4" x14ac:dyDescent="0.25">
      <c r="A6860" s="7" t="s">
        <v>12218</v>
      </c>
      <c r="B6860" s="8" t="s">
        <v>6160</v>
      </c>
      <c r="C6860" s="8" t="s">
        <v>2273</v>
      </c>
      <c r="D6860" s="8" t="str">
        <f>"9783030977221"</f>
        <v>9783030977221</v>
      </c>
    </row>
    <row r="6861" spans="1:4" ht="30" x14ac:dyDescent="0.25">
      <c r="A6861" s="7" t="s">
        <v>11110</v>
      </c>
      <c r="B6861" s="8" t="s">
        <v>11111</v>
      </c>
      <c r="C6861" s="8" t="s">
        <v>6707</v>
      </c>
      <c r="D6861" s="8" t="str">
        <f>"9780472902231"</f>
        <v>9780472902231</v>
      </c>
    </row>
    <row r="6862" spans="1:4" x14ac:dyDescent="0.25">
      <c r="A6862" s="7" t="s">
        <v>8067</v>
      </c>
      <c r="B6862" s="8" t="s">
        <v>8068</v>
      </c>
      <c r="C6862" s="8" t="s">
        <v>1865</v>
      </c>
      <c r="D6862" s="8" t="str">
        <f>"9789179290085"</f>
        <v>9789179290085</v>
      </c>
    </row>
    <row r="6863" spans="1:4" x14ac:dyDescent="0.25">
      <c r="A6863" s="7" t="s">
        <v>354</v>
      </c>
      <c r="B6863" s="8" t="s">
        <v>356</v>
      </c>
      <c r="C6863" s="8" t="s">
        <v>355</v>
      </c>
      <c r="D6863" s="8" t="str">
        <f>"9783110232158"</f>
        <v>9783110232158</v>
      </c>
    </row>
    <row r="6864" spans="1:4" ht="30" x14ac:dyDescent="0.25">
      <c r="A6864" s="7" t="s">
        <v>13434</v>
      </c>
      <c r="B6864" s="8" t="s">
        <v>13435</v>
      </c>
      <c r="C6864" s="8" t="s">
        <v>2273</v>
      </c>
      <c r="D6864" s="8" t="str">
        <f>"9783031138386"</f>
        <v>9783031138386</v>
      </c>
    </row>
    <row r="6865" spans="1:4" x14ac:dyDescent="0.25">
      <c r="A6865" s="7" t="s">
        <v>6823</v>
      </c>
      <c r="B6865" s="8" t="s">
        <v>6824</v>
      </c>
      <c r="C6865" s="8" t="s">
        <v>5086</v>
      </c>
      <c r="D6865" s="8" t="str">
        <f>"9783658337728"</f>
        <v>9783658337728</v>
      </c>
    </row>
    <row r="6866" spans="1:4" ht="30" x14ac:dyDescent="0.25">
      <c r="A6866" s="7" t="s">
        <v>5811</v>
      </c>
      <c r="B6866" s="8" t="s">
        <v>5812</v>
      </c>
      <c r="C6866" s="8" t="s">
        <v>2273</v>
      </c>
      <c r="D6866" s="8" t="str">
        <f>"9783319200958"</f>
        <v>9783319200958</v>
      </c>
    </row>
    <row r="6867" spans="1:4" ht="30" x14ac:dyDescent="0.25">
      <c r="A6867" s="7" t="s">
        <v>6548</v>
      </c>
      <c r="B6867" s="8" t="s">
        <v>6549</v>
      </c>
      <c r="C6867" s="8" t="s">
        <v>4245</v>
      </c>
      <c r="D6867" s="8" t="str">
        <f>"9789813363427"</f>
        <v>9789813363427</v>
      </c>
    </row>
    <row r="6868" spans="1:4" ht="30" x14ac:dyDescent="0.25">
      <c r="A6868" s="7" t="s">
        <v>8415</v>
      </c>
      <c r="B6868" s="8" t="s">
        <v>8416</v>
      </c>
      <c r="C6868" s="8" t="s">
        <v>993</v>
      </c>
      <c r="D6868" s="8" t="str">
        <f>"9783839451830"</f>
        <v>9783839451830</v>
      </c>
    </row>
    <row r="6869" spans="1:4" ht="30" x14ac:dyDescent="0.25">
      <c r="A6869" s="7" t="s">
        <v>11757</v>
      </c>
      <c r="B6869" s="8" t="s">
        <v>11758</v>
      </c>
      <c r="C6869" s="8" t="s">
        <v>316</v>
      </c>
      <c r="D6869" s="8" t="str">
        <f>"9783111727431"</f>
        <v>9783111727431</v>
      </c>
    </row>
    <row r="6870" spans="1:4" x14ac:dyDescent="0.25">
      <c r="A6870" s="7" t="s">
        <v>9140</v>
      </c>
      <c r="B6870" s="8" t="s">
        <v>9141</v>
      </c>
      <c r="C6870" s="8" t="s">
        <v>9138</v>
      </c>
      <c r="D6870" s="8" t="str">
        <f>"9780520380547"</f>
        <v>9780520380547</v>
      </c>
    </row>
    <row r="6871" spans="1:4" x14ac:dyDescent="0.25">
      <c r="A6871" s="7" t="s">
        <v>5964</v>
      </c>
      <c r="B6871" s="8" t="s">
        <v>5965</v>
      </c>
      <c r="C6871" s="8" t="s">
        <v>2273</v>
      </c>
      <c r="D6871" s="8" t="str">
        <f>"9783319189710"</f>
        <v>9783319189710</v>
      </c>
    </row>
    <row r="6872" spans="1:4" x14ac:dyDescent="0.25">
      <c r="A6872" s="7" t="s">
        <v>2284</v>
      </c>
      <c r="B6872" s="8" t="s">
        <v>2285</v>
      </c>
      <c r="C6872" s="8" t="s">
        <v>355</v>
      </c>
      <c r="D6872" s="8" t="str">
        <f>"9783110439755"</f>
        <v>9783110439755</v>
      </c>
    </row>
    <row r="6873" spans="1:4" ht="30" x14ac:dyDescent="0.25">
      <c r="A6873" s="7" t="s">
        <v>5667</v>
      </c>
      <c r="B6873" s="8" t="s">
        <v>5669</v>
      </c>
      <c r="C6873" s="8" t="s">
        <v>5668</v>
      </c>
      <c r="D6873" s="8" t="str">
        <f>"9788132220145"</f>
        <v>9788132220145</v>
      </c>
    </row>
    <row r="6874" spans="1:4" ht="30" x14ac:dyDescent="0.25">
      <c r="A6874" s="7" t="s">
        <v>1547</v>
      </c>
      <c r="B6874" s="8" t="s">
        <v>1548</v>
      </c>
      <c r="C6874" s="8" t="s">
        <v>1345</v>
      </c>
      <c r="D6874" s="8" t="str">
        <f>"9783862192694"</f>
        <v>9783862192694</v>
      </c>
    </row>
    <row r="6875" spans="1:4" x14ac:dyDescent="0.25">
      <c r="A6875" s="7" t="s">
        <v>5859</v>
      </c>
      <c r="B6875" s="8" t="s">
        <v>5860</v>
      </c>
      <c r="C6875" s="8" t="s">
        <v>2273</v>
      </c>
      <c r="D6875" s="8" t="str">
        <f>"9783319741413"</f>
        <v>9783319741413</v>
      </c>
    </row>
    <row r="6876" spans="1:4" x14ac:dyDescent="0.25">
      <c r="A6876" s="7" t="s">
        <v>8779</v>
      </c>
      <c r="B6876" s="8" t="s">
        <v>8780</v>
      </c>
      <c r="C6876" s="8" t="s">
        <v>4245</v>
      </c>
      <c r="D6876" s="8" t="str">
        <f>"9789811657276"</f>
        <v>9789811657276</v>
      </c>
    </row>
    <row r="6877" spans="1:4" ht="30" x14ac:dyDescent="0.25">
      <c r="A6877" s="7" t="s">
        <v>8640</v>
      </c>
      <c r="B6877" s="8" t="s">
        <v>8641</v>
      </c>
      <c r="C6877" s="8" t="s">
        <v>2273</v>
      </c>
      <c r="D6877" s="8" t="str">
        <f>"9783030803025"</f>
        <v>9783030803025</v>
      </c>
    </row>
    <row r="6878" spans="1:4" ht="30" x14ac:dyDescent="0.25">
      <c r="A6878" s="7" t="s">
        <v>7983</v>
      </c>
      <c r="B6878" s="8" t="s">
        <v>7984</v>
      </c>
      <c r="C6878" s="8" t="s">
        <v>1962</v>
      </c>
      <c r="D6878" s="8" t="str">
        <f>"9782759230754"</f>
        <v>9782759230754</v>
      </c>
    </row>
    <row r="6879" spans="1:4" x14ac:dyDescent="0.25">
      <c r="A6879" s="7" t="s">
        <v>8894</v>
      </c>
      <c r="B6879" s="8" t="s">
        <v>8895</v>
      </c>
      <c r="C6879" s="8" t="s">
        <v>2273</v>
      </c>
      <c r="D6879" s="8" t="str">
        <f>"9783030884550"</f>
        <v>9783030884550</v>
      </c>
    </row>
    <row r="6880" spans="1:4" x14ac:dyDescent="0.25">
      <c r="A6880" s="7" t="s">
        <v>11043</v>
      </c>
      <c r="B6880" s="8" t="s">
        <v>11044</v>
      </c>
      <c r="C6880" s="8" t="s">
        <v>2273</v>
      </c>
      <c r="D6880" s="8" t="str">
        <f>"9783031042348"</f>
        <v>9783031042348</v>
      </c>
    </row>
    <row r="6881" spans="1:4" x14ac:dyDescent="0.25">
      <c r="A6881" s="7" t="s">
        <v>14518</v>
      </c>
      <c r="B6881" s="8" t="s">
        <v>14519</v>
      </c>
      <c r="C6881" s="8" t="s">
        <v>1865</v>
      </c>
      <c r="D6881" s="8" t="str">
        <f>"9789179293093"</f>
        <v>9789179293093</v>
      </c>
    </row>
    <row r="6882" spans="1:4" x14ac:dyDescent="0.25">
      <c r="A6882" s="7" t="s">
        <v>10609</v>
      </c>
      <c r="B6882" s="8" t="s">
        <v>10610</v>
      </c>
      <c r="C6882" s="8" t="s">
        <v>2273</v>
      </c>
      <c r="D6882" s="8" t="str">
        <f>"9783030888022"</f>
        <v>9783030888022</v>
      </c>
    </row>
    <row r="6883" spans="1:4" ht="30" x14ac:dyDescent="0.25">
      <c r="A6883" s="7" t="s">
        <v>16260</v>
      </c>
      <c r="B6883" s="8" t="s">
        <v>3502</v>
      </c>
      <c r="C6883" s="8" t="s">
        <v>1865</v>
      </c>
      <c r="D6883" s="8" t="str">
        <f>"9789175190822"</f>
        <v>9789175190822</v>
      </c>
    </row>
    <row r="6884" spans="1:4" x14ac:dyDescent="0.25">
      <c r="A6884" s="7" t="s">
        <v>15018</v>
      </c>
      <c r="B6884" s="8" t="s">
        <v>15019</v>
      </c>
      <c r="C6884" s="8" t="s">
        <v>1865</v>
      </c>
      <c r="D6884" s="8" t="str">
        <f>"9789175195926"</f>
        <v>9789175195926</v>
      </c>
    </row>
    <row r="6885" spans="1:4" x14ac:dyDescent="0.25">
      <c r="A6885" s="7" t="s">
        <v>3784</v>
      </c>
      <c r="B6885" s="8" t="s">
        <v>3785</v>
      </c>
      <c r="C6885" s="8" t="s">
        <v>355</v>
      </c>
      <c r="D6885" s="8" t="str">
        <f>"9783110557602"</f>
        <v>9783110557602</v>
      </c>
    </row>
    <row r="6886" spans="1:4" ht="60" x14ac:dyDescent="0.25">
      <c r="A6886" s="7" t="s">
        <v>2713</v>
      </c>
      <c r="B6886" s="8" t="s">
        <v>2714</v>
      </c>
      <c r="C6886" s="8" t="s">
        <v>1345</v>
      </c>
      <c r="D6886" s="8" t="str">
        <f>"9783737601436"</f>
        <v>9783737601436</v>
      </c>
    </row>
    <row r="6887" spans="1:4" x14ac:dyDescent="0.25">
      <c r="A6887" s="7" t="s">
        <v>2100</v>
      </c>
      <c r="B6887" s="8" t="s">
        <v>2101</v>
      </c>
      <c r="C6887" s="8" t="s">
        <v>1345</v>
      </c>
      <c r="D6887" s="8" t="str">
        <f>"9783862199037"</f>
        <v>9783862199037</v>
      </c>
    </row>
    <row r="6888" spans="1:4" x14ac:dyDescent="0.25">
      <c r="A6888" s="7" t="s">
        <v>8520</v>
      </c>
      <c r="B6888" s="8" t="s">
        <v>8521</v>
      </c>
      <c r="C6888" s="8" t="s">
        <v>8263</v>
      </c>
      <c r="D6888" s="8" t="str">
        <f>"9780824882402"</f>
        <v>9780824882402</v>
      </c>
    </row>
    <row r="6889" spans="1:4" ht="30" x14ac:dyDescent="0.25">
      <c r="A6889" s="7" t="s">
        <v>6566</v>
      </c>
      <c r="B6889" s="8" t="s">
        <v>6567</v>
      </c>
      <c r="C6889" s="8" t="s">
        <v>2273</v>
      </c>
      <c r="D6889" s="8" t="str">
        <f>"9783030664022"</f>
        <v>9783030664022</v>
      </c>
    </row>
    <row r="6890" spans="1:4" x14ac:dyDescent="0.25">
      <c r="A6890" s="7" t="s">
        <v>618</v>
      </c>
      <c r="B6890" s="8" t="s">
        <v>619</v>
      </c>
      <c r="C6890" s="8" t="s">
        <v>562</v>
      </c>
      <c r="D6890" s="8" t="str">
        <f>"9780822393351"</f>
        <v>9780822393351</v>
      </c>
    </row>
    <row r="6891" spans="1:4" ht="30" x14ac:dyDescent="0.25">
      <c r="A6891" s="7" t="s">
        <v>14803</v>
      </c>
      <c r="B6891" s="8" t="s">
        <v>4468</v>
      </c>
      <c r="C6891" s="8" t="s">
        <v>1865</v>
      </c>
      <c r="D6891" s="8" t="str">
        <f>"9789176855454"</f>
        <v>9789176855454</v>
      </c>
    </row>
    <row r="6892" spans="1:4" ht="30" x14ac:dyDescent="0.25">
      <c r="A6892" s="7" t="s">
        <v>1445</v>
      </c>
      <c r="B6892" s="8" t="s">
        <v>1446</v>
      </c>
      <c r="C6892" s="8" t="s">
        <v>1345</v>
      </c>
      <c r="D6892" s="8" t="str">
        <f>"9783899587616"</f>
        <v>9783899587616</v>
      </c>
    </row>
    <row r="6893" spans="1:4" ht="30" x14ac:dyDescent="0.25">
      <c r="A6893" s="7" t="s">
        <v>7426</v>
      </c>
      <c r="B6893" s="8" t="s">
        <v>7427</v>
      </c>
      <c r="C6893" s="8" t="s">
        <v>993</v>
      </c>
      <c r="D6893" s="8" t="str">
        <f>"9783839436622"</f>
        <v>9783839436622</v>
      </c>
    </row>
    <row r="6894" spans="1:4" x14ac:dyDescent="0.25">
      <c r="A6894" s="7" t="s">
        <v>10553</v>
      </c>
      <c r="B6894" s="8" t="s">
        <v>10554</v>
      </c>
      <c r="C6894" s="8" t="s">
        <v>993</v>
      </c>
      <c r="D6894" s="8" t="str">
        <f>"9783839459720"</f>
        <v>9783839459720</v>
      </c>
    </row>
    <row r="6895" spans="1:4" ht="30" x14ac:dyDescent="0.25">
      <c r="A6895" s="7" t="s">
        <v>7444</v>
      </c>
      <c r="B6895" s="8" t="s">
        <v>7445</v>
      </c>
      <c r="C6895" s="8" t="s">
        <v>993</v>
      </c>
      <c r="D6895" s="8" t="str">
        <f>"9783839441817"</f>
        <v>9783839441817</v>
      </c>
    </row>
    <row r="6896" spans="1:4" x14ac:dyDescent="0.25">
      <c r="A6896" s="7" t="s">
        <v>7208</v>
      </c>
      <c r="B6896" s="8" t="s">
        <v>7209</v>
      </c>
      <c r="C6896" s="8" t="s">
        <v>355</v>
      </c>
      <c r="D6896" s="8" t="str">
        <f>"9783110630206"</f>
        <v>9783110630206</v>
      </c>
    </row>
    <row r="6897" spans="1:4" x14ac:dyDescent="0.25">
      <c r="A6897" s="7" t="s">
        <v>7995</v>
      </c>
      <c r="B6897" s="8" t="s">
        <v>7996</v>
      </c>
      <c r="C6897" s="8" t="s">
        <v>1962</v>
      </c>
      <c r="D6897" s="8" t="str">
        <f>"9782759230846"</f>
        <v>9782759230846</v>
      </c>
    </row>
    <row r="6898" spans="1:4" x14ac:dyDescent="0.25">
      <c r="A6898" s="7" t="s">
        <v>6224</v>
      </c>
      <c r="B6898" s="8" t="s">
        <v>6225</v>
      </c>
      <c r="C6898" s="8" t="s">
        <v>5086</v>
      </c>
      <c r="D6898" s="8" t="str">
        <f>"9783658064303"</f>
        <v>9783658064303</v>
      </c>
    </row>
    <row r="6899" spans="1:4" x14ac:dyDescent="0.25">
      <c r="A6899" s="7" t="s">
        <v>2994</v>
      </c>
      <c r="B6899" s="8" t="s">
        <v>2995</v>
      </c>
      <c r="C6899" s="8" t="s">
        <v>309</v>
      </c>
      <c r="D6899" s="8" t="str">
        <f>"9781439914434"</f>
        <v>9781439914434</v>
      </c>
    </row>
    <row r="6900" spans="1:4" ht="30" x14ac:dyDescent="0.25">
      <c r="A6900" s="7" t="s">
        <v>9287</v>
      </c>
      <c r="B6900" s="8" t="s">
        <v>9288</v>
      </c>
      <c r="C6900" s="8" t="s">
        <v>9256</v>
      </c>
      <c r="D6900" s="8" t="str">
        <f>"9788021093454"</f>
        <v>9788021093454</v>
      </c>
    </row>
    <row r="6901" spans="1:4" x14ac:dyDescent="0.25">
      <c r="A6901" s="7" t="s">
        <v>16202</v>
      </c>
      <c r="B6901" s="8" t="s">
        <v>16203</v>
      </c>
      <c r="C6901" s="8" t="s">
        <v>1865</v>
      </c>
      <c r="D6901" s="8" t="str">
        <f>"9789176851661"</f>
        <v>9789176851661</v>
      </c>
    </row>
    <row r="6902" spans="1:4" x14ac:dyDescent="0.25">
      <c r="A6902" s="7" t="s">
        <v>13483</v>
      </c>
      <c r="B6902" s="8" t="s">
        <v>13484</v>
      </c>
      <c r="C6902" s="8" t="s">
        <v>2273</v>
      </c>
      <c r="D6902" s="8" t="str">
        <f>"9783031040214"</f>
        <v>9783031040214</v>
      </c>
    </row>
    <row r="6903" spans="1:4" x14ac:dyDescent="0.25">
      <c r="A6903" s="7" t="s">
        <v>10329</v>
      </c>
      <c r="B6903" s="8" t="s">
        <v>10330</v>
      </c>
      <c r="C6903" s="8" t="s">
        <v>993</v>
      </c>
      <c r="D6903" s="8" t="str">
        <f>"9783839448984"</f>
        <v>9783839448984</v>
      </c>
    </row>
    <row r="6904" spans="1:4" x14ac:dyDescent="0.25">
      <c r="A6904" s="7" t="s">
        <v>2393</v>
      </c>
      <c r="B6904" s="8" t="s">
        <v>2394</v>
      </c>
      <c r="C6904" s="8" t="s">
        <v>329</v>
      </c>
      <c r="D6904" s="8" t="str">
        <f>"9789048525294"</f>
        <v>9789048525294</v>
      </c>
    </row>
    <row r="6905" spans="1:4" ht="30" x14ac:dyDescent="0.25">
      <c r="A6905" s="7" t="s">
        <v>331</v>
      </c>
      <c r="B6905" s="8" t="s">
        <v>332</v>
      </c>
      <c r="C6905" s="8" t="s">
        <v>309</v>
      </c>
      <c r="D6905" s="8" t="str">
        <f>"9781439900338"</f>
        <v>9781439900338</v>
      </c>
    </row>
    <row r="6906" spans="1:4" ht="30" x14ac:dyDescent="0.25">
      <c r="A6906" s="7" t="s">
        <v>14773</v>
      </c>
      <c r="B6906" s="8" t="s">
        <v>14774</v>
      </c>
      <c r="C6906" s="8" t="s">
        <v>1865</v>
      </c>
      <c r="D6906" s="8" t="str">
        <f>"9789185895748"</f>
        <v>9789185895748</v>
      </c>
    </row>
    <row r="6907" spans="1:4" x14ac:dyDescent="0.25">
      <c r="A6907" s="7" t="s">
        <v>7621</v>
      </c>
      <c r="B6907" s="8" t="s">
        <v>7622</v>
      </c>
      <c r="C6907" s="8" t="s">
        <v>993</v>
      </c>
      <c r="D6907" s="8" t="str">
        <f>"9783839421796"</f>
        <v>9783839421796</v>
      </c>
    </row>
    <row r="6908" spans="1:4" x14ac:dyDescent="0.25">
      <c r="A6908" s="7" t="s">
        <v>1875</v>
      </c>
      <c r="B6908" s="8" t="s">
        <v>1877</v>
      </c>
      <c r="C6908" s="8" t="s">
        <v>1876</v>
      </c>
      <c r="D6908" s="8" t="str">
        <f>"9780975747599"</f>
        <v>9780975747599</v>
      </c>
    </row>
    <row r="6909" spans="1:4" x14ac:dyDescent="0.25">
      <c r="A6909" s="7" t="s">
        <v>8421</v>
      </c>
      <c r="B6909" s="8" t="s">
        <v>8422</v>
      </c>
      <c r="C6909" s="8" t="s">
        <v>993</v>
      </c>
      <c r="D6909" s="8" t="str">
        <f>"9783839451717"</f>
        <v>9783839451717</v>
      </c>
    </row>
    <row r="6910" spans="1:4" x14ac:dyDescent="0.25">
      <c r="A6910" s="7" t="s">
        <v>5272</v>
      </c>
      <c r="B6910" s="8" t="s">
        <v>5273</v>
      </c>
      <c r="C6910" s="8" t="s">
        <v>2273</v>
      </c>
      <c r="D6910" s="8" t="str">
        <f>"9783319397634"</f>
        <v>9783319397634</v>
      </c>
    </row>
    <row r="6911" spans="1:4" x14ac:dyDescent="0.25">
      <c r="A6911" s="7" t="s">
        <v>456</v>
      </c>
      <c r="B6911" s="8" t="s">
        <v>457</v>
      </c>
      <c r="C6911" s="8" t="s">
        <v>316</v>
      </c>
      <c r="D6911" s="8" t="str">
        <f>"9783110245745"</f>
        <v>9783110245745</v>
      </c>
    </row>
    <row r="6912" spans="1:4" x14ac:dyDescent="0.25">
      <c r="A6912" s="7" t="s">
        <v>3063</v>
      </c>
      <c r="B6912" s="8" t="s">
        <v>3064</v>
      </c>
      <c r="C6912" s="8" t="s">
        <v>562</v>
      </c>
      <c r="D6912" s="8" t="str">
        <f>"9780822373391"</f>
        <v>9780822373391</v>
      </c>
    </row>
    <row r="6913" spans="1:4" ht="30" x14ac:dyDescent="0.25">
      <c r="A6913" s="7" t="s">
        <v>882</v>
      </c>
      <c r="B6913" s="8" t="s">
        <v>49</v>
      </c>
      <c r="C6913" s="8" t="s">
        <v>355</v>
      </c>
      <c r="D6913" s="8" t="str">
        <f>"9783110400724"</f>
        <v>9783110400724</v>
      </c>
    </row>
    <row r="6914" spans="1:4" x14ac:dyDescent="0.25">
      <c r="A6914" s="7" t="s">
        <v>1319</v>
      </c>
      <c r="B6914" s="8" t="s">
        <v>1320</v>
      </c>
      <c r="C6914" s="8" t="s">
        <v>1224</v>
      </c>
      <c r="D6914" s="8" t="str">
        <f>"9781618116864"</f>
        <v>9781618116864</v>
      </c>
    </row>
    <row r="6915" spans="1:4" ht="30" x14ac:dyDescent="0.25">
      <c r="A6915" s="7" t="s">
        <v>7517</v>
      </c>
      <c r="B6915" s="8" t="s">
        <v>7518</v>
      </c>
      <c r="C6915" s="8" t="s">
        <v>993</v>
      </c>
      <c r="D6915" s="8" t="str">
        <f>"9783839435489"</f>
        <v>9783839435489</v>
      </c>
    </row>
    <row r="6916" spans="1:4" x14ac:dyDescent="0.25">
      <c r="A6916" s="7" t="s">
        <v>6317</v>
      </c>
      <c r="B6916" s="8" t="s">
        <v>6318</v>
      </c>
      <c r="C6916" s="8" t="s">
        <v>5086</v>
      </c>
      <c r="D6916" s="8" t="str">
        <f>"9783658319946"</f>
        <v>9783658319946</v>
      </c>
    </row>
    <row r="6917" spans="1:4" x14ac:dyDescent="0.25">
      <c r="A6917" s="7" t="s">
        <v>8777</v>
      </c>
      <c r="B6917" s="8" t="s">
        <v>8778</v>
      </c>
      <c r="C6917" s="8" t="s">
        <v>5086</v>
      </c>
      <c r="D6917" s="8" t="str">
        <f>"9783658361419"</f>
        <v>9783658361419</v>
      </c>
    </row>
    <row r="6918" spans="1:4" ht="30" x14ac:dyDescent="0.25">
      <c r="A6918" s="7" t="s">
        <v>3553</v>
      </c>
      <c r="B6918" s="8" t="s">
        <v>3554</v>
      </c>
      <c r="C6918" s="8" t="s">
        <v>1345</v>
      </c>
      <c r="D6918" s="8" t="str">
        <f>"9783737604338"</f>
        <v>9783737604338</v>
      </c>
    </row>
    <row r="6919" spans="1:4" x14ac:dyDescent="0.25">
      <c r="A6919" s="7" t="s">
        <v>924</v>
      </c>
      <c r="B6919" s="8" t="s">
        <v>925</v>
      </c>
      <c r="C6919" s="8" t="s">
        <v>316</v>
      </c>
      <c r="D6919" s="8" t="str">
        <f>"9783110399370"</f>
        <v>9783110399370</v>
      </c>
    </row>
    <row r="6920" spans="1:4" x14ac:dyDescent="0.25">
      <c r="A6920" s="7" t="s">
        <v>1002</v>
      </c>
      <c r="B6920" s="8" t="s">
        <v>1003</v>
      </c>
      <c r="C6920" s="8" t="s">
        <v>993</v>
      </c>
      <c r="D6920" s="8" t="str">
        <f>"9783839415603"</f>
        <v>9783839415603</v>
      </c>
    </row>
    <row r="6921" spans="1:4" ht="30" x14ac:dyDescent="0.25">
      <c r="A6921" s="7" t="s">
        <v>7770</v>
      </c>
      <c r="B6921" s="8" t="s">
        <v>6306</v>
      </c>
      <c r="C6921" s="8" t="s">
        <v>993</v>
      </c>
      <c r="D6921" s="8" t="str">
        <f>"9783839404607"</f>
        <v>9783839404607</v>
      </c>
    </row>
    <row r="6922" spans="1:4" ht="30" x14ac:dyDescent="0.25">
      <c r="A6922" s="7" t="s">
        <v>4605</v>
      </c>
      <c r="B6922" s="8" t="s">
        <v>1763</v>
      </c>
      <c r="C6922" s="8" t="s">
        <v>1345</v>
      </c>
      <c r="D6922" s="8" t="str">
        <f>"9783737607193"</f>
        <v>9783737607193</v>
      </c>
    </row>
    <row r="6923" spans="1:4" ht="30" x14ac:dyDescent="0.25">
      <c r="A6923" s="7" t="s">
        <v>6159</v>
      </c>
      <c r="B6923" s="8" t="s">
        <v>6160</v>
      </c>
      <c r="C6923" s="8" t="s">
        <v>5086</v>
      </c>
      <c r="D6923" s="8" t="str">
        <f>"9783658216597"</f>
        <v>9783658216597</v>
      </c>
    </row>
    <row r="6924" spans="1:4" ht="30" x14ac:dyDescent="0.25">
      <c r="A6924" s="7" t="s">
        <v>9527</v>
      </c>
      <c r="B6924" s="8" t="s">
        <v>9528</v>
      </c>
      <c r="C6924" s="8" t="s">
        <v>5086</v>
      </c>
      <c r="D6924" s="8" t="str">
        <f>"9783658367541"</f>
        <v>9783658367541</v>
      </c>
    </row>
    <row r="6925" spans="1:4" ht="30" x14ac:dyDescent="0.25">
      <c r="A6925" s="7" t="s">
        <v>12862</v>
      </c>
      <c r="B6925" s="8" t="s">
        <v>12863</v>
      </c>
      <c r="C6925" s="8" t="s">
        <v>12712</v>
      </c>
      <c r="D6925" s="8" t="str">
        <f>"9783428438914"</f>
        <v>9783428438914</v>
      </c>
    </row>
    <row r="6926" spans="1:4" ht="45" x14ac:dyDescent="0.25">
      <c r="A6926" s="7" t="s">
        <v>3131</v>
      </c>
      <c r="B6926" s="8" t="s">
        <v>3132</v>
      </c>
      <c r="C6926" s="8" t="s">
        <v>1345</v>
      </c>
      <c r="D6926" s="8" t="str">
        <f>"9783737603058"</f>
        <v>9783737603058</v>
      </c>
    </row>
    <row r="6927" spans="1:4" x14ac:dyDescent="0.25">
      <c r="A6927" s="7" t="s">
        <v>7766</v>
      </c>
      <c r="B6927" s="8" t="s">
        <v>7767</v>
      </c>
      <c r="C6927" s="8" t="s">
        <v>993</v>
      </c>
      <c r="D6927" s="8" t="str">
        <f>"9783839406229"</f>
        <v>9783839406229</v>
      </c>
    </row>
    <row r="6928" spans="1:4" x14ac:dyDescent="0.25">
      <c r="A6928" s="7" t="s">
        <v>8403</v>
      </c>
      <c r="B6928" s="8" t="s">
        <v>8404</v>
      </c>
      <c r="C6928" s="8" t="s">
        <v>993</v>
      </c>
      <c r="D6928" s="8" t="str">
        <f>"9783839443286"</f>
        <v>9783839443286</v>
      </c>
    </row>
    <row r="6929" spans="1:4" x14ac:dyDescent="0.25">
      <c r="A6929" s="7" t="s">
        <v>11503</v>
      </c>
      <c r="B6929" s="8" t="s">
        <v>11504</v>
      </c>
      <c r="C6929" s="8" t="s">
        <v>355</v>
      </c>
      <c r="D6929" s="8" t="str">
        <f>"9783111604114"</f>
        <v>9783111604114</v>
      </c>
    </row>
    <row r="6930" spans="1:4" ht="30" x14ac:dyDescent="0.25">
      <c r="A6930" s="7" t="s">
        <v>12302</v>
      </c>
      <c r="B6930" s="8" t="s">
        <v>12303</v>
      </c>
      <c r="C6930" s="8" t="s">
        <v>993</v>
      </c>
      <c r="D6930" s="8" t="str">
        <f>"9783839460580"</f>
        <v>9783839460580</v>
      </c>
    </row>
    <row r="6931" spans="1:4" x14ac:dyDescent="0.25">
      <c r="A6931" s="7" t="s">
        <v>12969</v>
      </c>
      <c r="B6931" s="8" t="s">
        <v>12953</v>
      </c>
      <c r="C6931" s="8" t="s">
        <v>12712</v>
      </c>
      <c r="D6931" s="8" t="str">
        <f>"9783428459490"</f>
        <v>9783428459490</v>
      </c>
    </row>
    <row r="6932" spans="1:4" x14ac:dyDescent="0.25">
      <c r="A6932" s="7" t="s">
        <v>12980</v>
      </c>
      <c r="B6932" s="8" t="s">
        <v>12953</v>
      </c>
      <c r="C6932" s="8" t="s">
        <v>12712</v>
      </c>
      <c r="D6932" s="8" t="str">
        <f>"9783428460472"</f>
        <v>9783428460472</v>
      </c>
    </row>
    <row r="6933" spans="1:4" x14ac:dyDescent="0.25">
      <c r="A6933" s="7" t="s">
        <v>10184</v>
      </c>
      <c r="B6933" s="8" t="s">
        <v>10185</v>
      </c>
      <c r="C6933" s="8" t="s">
        <v>993</v>
      </c>
      <c r="D6933" s="8" t="str">
        <f>"9783839442968"</f>
        <v>9783839442968</v>
      </c>
    </row>
    <row r="6934" spans="1:4" ht="30" x14ac:dyDescent="0.25">
      <c r="A6934" s="7" t="s">
        <v>5510</v>
      </c>
      <c r="B6934" s="8" t="s">
        <v>5511</v>
      </c>
      <c r="C6934" s="8" t="s">
        <v>5086</v>
      </c>
      <c r="D6934" s="8" t="str">
        <f>"9783658320652"</f>
        <v>9783658320652</v>
      </c>
    </row>
    <row r="6935" spans="1:4" ht="30" x14ac:dyDescent="0.25">
      <c r="A6935" s="7" t="s">
        <v>11566</v>
      </c>
      <c r="B6935" s="8" t="s">
        <v>160</v>
      </c>
      <c r="C6935" s="8" t="s">
        <v>355</v>
      </c>
      <c r="D6935" s="8" t="str">
        <f>"9783110627275"</f>
        <v>9783110627275</v>
      </c>
    </row>
    <row r="6936" spans="1:4" x14ac:dyDescent="0.25">
      <c r="A6936" s="7" t="s">
        <v>8219</v>
      </c>
      <c r="B6936" s="8" t="s">
        <v>8411</v>
      </c>
      <c r="C6936" s="8" t="s">
        <v>993</v>
      </c>
      <c r="D6936" s="8" t="str">
        <f>"9783839451991"</f>
        <v>9783839451991</v>
      </c>
    </row>
    <row r="6937" spans="1:4" x14ac:dyDescent="0.25">
      <c r="A6937" s="7" t="s">
        <v>10236</v>
      </c>
      <c r="B6937" s="8" t="s">
        <v>10237</v>
      </c>
      <c r="C6937" s="8" t="s">
        <v>993</v>
      </c>
      <c r="D6937" s="8" t="str">
        <f>"9783839445587"</f>
        <v>9783839445587</v>
      </c>
    </row>
    <row r="6938" spans="1:4" x14ac:dyDescent="0.25">
      <c r="A6938" s="7" t="s">
        <v>14932</v>
      </c>
      <c r="B6938" s="8" t="s">
        <v>14933</v>
      </c>
      <c r="C6938" s="8" t="s">
        <v>1865</v>
      </c>
      <c r="D6938" s="8" t="str">
        <f>"9789175198132"</f>
        <v>9789175198132</v>
      </c>
    </row>
    <row r="6939" spans="1:4" x14ac:dyDescent="0.25">
      <c r="A6939" s="7" t="s">
        <v>14781</v>
      </c>
      <c r="B6939" s="8" t="s">
        <v>14782</v>
      </c>
      <c r="C6939" s="8" t="s">
        <v>1865</v>
      </c>
      <c r="D6939" s="8" t="str">
        <f>"9789175196770"</f>
        <v>9789175196770</v>
      </c>
    </row>
    <row r="6940" spans="1:4" x14ac:dyDescent="0.25">
      <c r="A6940" s="7" t="s">
        <v>8912</v>
      </c>
      <c r="B6940" s="8" t="s">
        <v>8913</v>
      </c>
      <c r="C6940" s="8" t="s">
        <v>2273</v>
      </c>
      <c r="D6940" s="8" t="str">
        <f>"9783030785970"</f>
        <v>9783030785970</v>
      </c>
    </row>
    <row r="6941" spans="1:4" x14ac:dyDescent="0.25">
      <c r="A6941" s="7" t="s">
        <v>7756</v>
      </c>
      <c r="B6941" s="8" t="s">
        <v>7680</v>
      </c>
      <c r="C6941" s="8" t="s">
        <v>993</v>
      </c>
      <c r="D6941" s="8" t="str">
        <f>"9783839426500"</f>
        <v>9783839426500</v>
      </c>
    </row>
    <row r="6942" spans="1:4" ht="30" x14ac:dyDescent="0.25">
      <c r="A6942" s="7" t="s">
        <v>7647</v>
      </c>
      <c r="B6942" s="8" t="s">
        <v>7648</v>
      </c>
      <c r="C6942" s="8" t="s">
        <v>993</v>
      </c>
      <c r="D6942" s="8" t="str">
        <f>"9783839424735"</f>
        <v>9783839424735</v>
      </c>
    </row>
    <row r="6943" spans="1:4" x14ac:dyDescent="0.25">
      <c r="A6943" s="7" t="s">
        <v>2404</v>
      </c>
      <c r="B6943" s="8" t="s">
        <v>2405</v>
      </c>
      <c r="C6943" s="8" t="s">
        <v>329</v>
      </c>
      <c r="D6943" s="8" t="str">
        <f>"9789048526819"</f>
        <v>9789048526819</v>
      </c>
    </row>
    <row r="6944" spans="1:4" x14ac:dyDescent="0.25">
      <c r="A6944" s="7" t="s">
        <v>11289</v>
      </c>
      <c r="B6944" s="8" t="s">
        <v>11290</v>
      </c>
      <c r="C6944" s="8" t="s">
        <v>355</v>
      </c>
      <c r="D6944" s="8" t="str">
        <f>"9783110708479"</f>
        <v>9783110708479</v>
      </c>
    </row>
    <row r="6945" spans="1:4" x14ac:dyDescent="0.25">
      <c r="A6945" s="7" t="s">
        <v>5347</v>
      </c>
      <c r="B6945" s="8" t="s">
        <v>5348</v>
      </c>
      <c r="C6945" s="8" t="s">
        <v>2273</v>
      </c>
      <c r="D6945" s="8" t="str">
        <f>"9783319580425"</f>
        <v>9783319580425</v>
      </c>
    </row>
    <row r="6946" spans="1:4" x14ac:dyDescent="0.25">
      <c r="A6946" s="7" t="s">
        <v>9180</v>
      </c>
      <c r="B6946" s="8" t="s">
        <v>9181</v>
      </c>
      <c r="C6946" s="8" t="s">
        <v>4882</v>
      </c>
      <c r="D6946" s="8" t="str">
        <f>"9781781387962"</f>
        <v>9781781387962</v>
      </c>
    </row>
    <row r="6947" spans="1:4" x14ac:dyDescent="0.25">
      <c r="A6947" s="7" t="s">
        <v>4195</v>
      </c>
      <c r="B6947" s="8" t="s">
        <v>4196</v>
      </c>
      <c r="C6947" s="8" t="s">
        <v>1865</v>
      </c>
      <c r="D6947" s="8" t="str">
        <f>"9789176851869"</f>
        <v>9789176851869</v>
      </c>
    </row>
    <row r="6948" spans="1:4" ht="30" x14ac:dyDescent="0.25">
      <c r="A6948" s="7" t="s">
        <v>466</v>
      </c>
      <c r="B6948" s="8" t="s">
        <v>467</v>
      </c>
      <c r="C6948" s="8" t="s">
        <v>316</v>
      </c>
      <c r="D6948" s="8" t="str">
        <f>"9783110240887"</f>
        <v>9783110240887</v>
      </c>
    </row>
    <row r="6949" spans="1:4" ht="30" x14ac:dyDescent="0.25">
      <c r="A6949" s="7" t="s">
        <v>511</v>
      </c>
      <c r="B6949" s="8" t="s">
        <v>512</v>
      </c>
      <c r="C6949" s="8" t="s">
        <v>316</v>
      </c>
      <c r="D6949" s="8" t="str">
        <f>"9783110370324"</f>
        <v>9783110370324</v>
      </c>
    </row>
    <row r="6950" spans="1:4" x14ac:dyDescent="0.25">
      <c r="A6950" s="7" t="s">
        <v>4790</v>
      </c>
      <c r="B6950" s="8" t="s">
        <v>4791</v>
      </c>
      <c r="C6950" s="8" t="s">
        <v>1865</v>
      </c>
      <c r="D6950" s="8" t="str">
        <f>"9789179299415"</f>
        <v>9789179299415</v>
      </c>
    </row>
    <row r="6951" spans="1:4" x14ac:dyDescent="0.25">
      <c r="A6951" s="7" t="s">
        <v>15446</v>
      </c>
      <c r="B6951" s="8" t="s">
        <v>4724</v>
      </c>
      <c r="C6951" s="8" t="s">
        <v>1865</v>
      </c>
      <c r="D6951" s="8" t="str">
        <f>"9789176854761"</f>
        <v>9789176854761</v>
      </c>
    </row>
    <row r="6952" spans="1:4" ht="30" x14ac:dyDescent="0.25">
      <c r="A6952" s="7" t="s">
        <v>2578</v>
      </c>
      <c r="B6952" s="8" t="s">
        <v>2226</v>
      </c>
      <c r="C6952" s="8" t="s">
        <v>355</v>
      </c>
      <c r="D6952" s="8" t="str">
        <f>"9783486851526"</f>
        <v>9783486851526</v>
      </c>
    </row>
    <row r="6953" spans="1:4" ht="30" x14ac:dyDescent="0.25">
      <c r="A6953" s="7" t="s">
        <v>1693</v>
      </c>
      <c r="B6953" s="8" t="s">
        <v>1694</v>
      </c>
      <c r="C6953" s="8" t="s">
        <v>1345</v>
      </c>
      <c r="D6953" s="8" t="str">
        <f>"9783862191758"</f>
        <v>9783862191758</v>
      </c>
    </row>
    <row r="6954" spans="1:4" ht="30" x14ac:dyDescent="0.25">
      <c r="A6954" s="7" t="s">
        <v>403</v>
      </c>
      <c r="B6954" s="8" t="s">
        <v>404</v>
      </c>
      <c r="C6954" s="8" t="s">
        <v>227</v>
      </c>
      <c r="D6954" s="8" t="str">
        <f>"9781847791078"</f>
        <v>9781847791078</v>
      </c>
    </row>
    <row r="6955" spans="1:4" x14ac:dyDescent="0.25">
      <c r="A6955" s="7" t="s">
        <v>283</v>
      </c>
      <c r="B6955" s="8" t="s">
        <v>284</v>
      </c>
      <c r="C6955" s="8" t="s">
        <v>227</v>
      </c>
      <c r="D6955" s="8" t="str">
        <f>"9781847790125"</f>
        <v>9781847790125</v>
      </c>
    </row>
    <row r="6956" spans="1:4" x14ac:dyDescent="0.25">
      <c r="A6956" s="7" t="s">
        <v>6552</v>
      </c>
      <c r="B6956" s="8" t="s">
        <v>6553</v>
      </c>
      <c r="C6956" s="8" t="s">
        <v>2273</v>
      </c>
      <c r="D6956" s="8" t="str">
        <f>"9783030624767"</f>
        <v>9783030624767</v>
      </c>
    </row>
    <row r="6957" spans="1:4" x14ac:dyDescent="0.25">
      <c r="A6957" s="7" t="s">
        <v>6552</v>
      </c>
      <c r="B6957" s="8" t="s">
        <v>8934</v>
      </c>
      <c r="C6957" s="8" t="s">
        <v>2273</v>
      </c>
      <c r="D6957" s="8" t="str">
        <f>"9783030859183"</f>
        <v>9783030859183</v>
      </c>
    </row>
    <row r="6958" spans="1:4" x14ac:dyDescent="0.25">
      <c r="A6958" s="7" t="s">
        <v>6552</v>
      </c>
      <c r="B6958" s="8" t="s">
        <v>13583</v>
      </c>
      <c r="C6958" s="8" t="s">
        <v>2273</v>
      </c>
      <c r="D6958" s="8" t="str">
        <f>"9783031153747"</f>
        <v>9783031153747</v>
      </c>
    </row>
    <row r="6959" spans="1:4" ht="30" x14ac:dyDescent="0.25">
      <c r="A6959" s="7" t="s">
        <v>9377</v>
      </c>
      <c r="B6959" s="8" t="s">
        <v>9378</v>
      </c>
      <c r="C6959" s="8" t="s">
        <v>9256</v>
      </c>
      <c r="D6959" s="8" t="str">
        <f>"9788021096752"</f>
        <v>9788021096752</v>
      </c>
    </row>
    <row r="6960" spans="1:4" ht="30" x14ac:dyDescent="0.25">
      <c r="A6960" s="7" t="s">
        <v>9370</v>
      </c>
      <c r="B6960" s="8" t="s">
        <v>9371</v>
      </c>
      <c r="C6960" s="8" t="s">
        <v>9256</v>
      </c>
      <c r="D6960" s="8" t="str">
        <f>"9788021096431"</f>
        <v>9788021096431</v>
      </c>
    </row>
    <row r="6961" spans="1:4" ht="30" x14ac:dyDescent="0.25">
      <c r="A6961" s="7" t="s">
        <v>9343</v>
      </c>
      <c r="B6961" s="8" t="s">
        <v>9344</v>
      </c>
      <c r="C6961" s="8" t="s">
        <v>9256</v>
      </c>
      <c r="D6961" s="8" t="str">
        <f>"9788021095908"</f>
        <v>9788021095908</v>
      </c>
    </row>
    <row r="6962" spans="1:4" ht="30" x14ac:dyDescent="0.25">
      <c r="A6962" s="7" t="s">
        <v>9289</v>
      </c>
      <c r="B6962" s="8" t="s">
        <v>9288</v>
      </c>
      <c r="C6962" s="8" t="s">
        <v>9256</v>
      </c>
      <c r="D6962" s="8" t="str">
        <f>"9788021093461"</f>
        <v>9788021093461</v>
      </c>
    </row>
    <row r="6963" spans="1:4" ht="30" x14ac:dyDescent="0.25">
      <c r="A6963" s="7" t="s">
        <v>9352</v>
      </c>
      <c r="B6963" s="8" t="s">
        <v>127</v>
      </c>
      <c r="C6963" s="8" t="s">
        <v>9256</v>
      </c>
      <c r="D6963" s="8" t="str">
        <f>"9788021095953"</f>
        <v>9788021095953</v>
      </c>
    </row>
    <row r="6964" spans="1:4" x14ac:dyDescent="0.25">
      <c r="A6964" s="7" t="s">
        <v>5142</v>
      </c>
      <c r="B6964" s="8" t="s">
        <v>5143</v>
      </c>
      <c r="C6964" s="8" t="s">
        <v>1865</v>
      </c>
      <c r="D6964" s="8" t="str">
        <f>"9789179297954"</f>
        <v>9789179297954</v>
      </c>
    </row>
    <row r="6965" spans="1:4" ht="30" x14ac:dyDescent="0.25">
      <c r="A6965" s="7" t="s">
        <v>3153</v>
      </c>
      <c r="B6965" s="8" t="s">
        <v>3154</v>
      </c>
      <c r="C6965" s="8" t="s">
        <v>1865</v>
      </c>
      <c r="D6965" s="8" t="str">
        <f>"9789176855607"</f>
        <v>9789176855607</v>
      </c>
    </row>
    <row r="6966" spans="1:4" ht="30" x14ac:dyDescent="0.25">
      <c r="A6966" s="7" t="s">
        <v>13963</v>
      </c>
      <c r="B6966" s="8" t="s">
        <v>13964</v>
      </c>
      <c r="C6966" s="8" t="s">
        <v>2273</v>
      </c>
      <c r="D6966" s="8" t="str">
        <f>"9783030990312"</f>
        <v>9783030990312</v>
      </c>
    </row>
    <row r="6967" spans="1:4" ht="45" x14ac:dyDescent="0.25">
      <c r="A6967" s="7" t="s">
        <v>10589</v>
      </c>
      <c r="B6967" s="8" t="s">
        <v>10590</v>
      </c>
      <c r="C6967" s="8" t="s">
        <v>993</v>
      </c>
      <c r="D6967" s="8" t="str">
        <f>"9783839461037"</f>
        <v>9783839461037</v>
      </c>
    </row>
    <row r="6968" spans="1:4" x14ac:dyDescent="0.25">
      <c r="A6968" s="7" t="s">
        <v>15179</v>
      </c>
      <c r="B6968" s="8" t="s">
        <v>15180</v>
      </c>
      <c r="C6968" s="8" t="s">
        <v>1865</v>
      </c>
      <c r="D6968" s="8" t="str">
        <f>"9789175198767"</f>
        <v>9789175198767</v>
      </c>
    </row>
    <row r="6969" spans="1:4" ht="30" x14ac:dyDescent="0.25">
      <c r="A6969" s="7" t="s">
        <v>15793</v>
      </c>
      <c r="B6969" s="8" t="s">
        <v>15794</v>
      </c>
      <c r="C6969" s="8" t="s">
        <v>1865</v>
      </c>
      <c r="D6969" s="8" t="str">
        <f>"9789176856048"</f>
        <v>9789176856048</v>
      </c>
    </row>
    <row r="6970" spans="1:4" ht="30" x14ac:dyDescent="0.25">
      <c r="A6970" s="7" t="s">
        <v>15128</v>
      </c>
      <c r="B6970" s="8" t="s">
        <v>15129</v>
      </c>
      <c r="C6970" s="8" t="s">
        <v>1865</v>
      </c>
      <c r="D6970" s="8" t="str">
        <f>"9789176857267"</f>
        <v>9789176857267</v>
      </c>
    </row>
    <row r="6971" spans="1:4" x14ac:dyDescent="0.25">
      <c r="A6971" s="7" t="s">
        <v>8051</v>
      </c>
      <c r="B6971" s="8" t="s">
        <v>2015</v>
      </c>
      <c r="C6971" s="8" t="s">
        <v>1962</v>
      </c>
      <c r="D6971" s="8" t="str">
        <f>"9782759232864"</f>
        <v>9782759232864</v>
      </c>
    </row>
    <row r="6972" spans="1:4" x14ac:dyDescent="0.25">
      <c r="A6972" s="7" t="s">
        <v>15191</v>
      </c>
      <c r="B6972" s="8" t="s">
        <v>15192</v>
      </c>
      <c r="C6972" s="8" t="s">
        <v>1865</v>
      </c>
      <c r="D6972" s="8" t="str">
        <f>"9789175199658"</f>
        <v>9789175199658</v>
      </c>
    </row>
    <row r="6973" spans="1:4" x14ac:dyDescent="0.25">
      <c r="A6973" s="7" t="s">
        <v>13815</v>
      </c>
      <c r="B6973" s="8" t="s">
        <v>6976</v>
      </c>
      <c r="C6973" s="8" t="s">
        <v>2274</v>
      </c>
      <c r="D6973" s="8" t="str">
        <f>"9789811980367"</f>
        <v>9789811980367</v>
      </c>
    </row>
    <row r="6974" spans="1:4" ht="30" x14ac:dyDescent="0.25">
      <c r="A6974" s="7" t="s">
        <v>15575</v>
      </c>
      <c r="B6974" s="8" t="s">
        <v>15576</v>
      </c>
      <c r="C6974" s="8" t="s">
        <v>1865</v>
      </c>
      <c r="D6974" s="8" t="str">
        <f>"9789176857250"</f>
        <v>9789176857250</v>
      </c>
    </row>
    <row r="6975" spans="1:4" ht="30" x14ac:dyDescent="0.25">
      <c r="A6975" s="7" t="s">
        <v>3981</v>
      </c>
      <c r="B6975" s="8" t="s">
        <v>3982</v>
      </c>
      <c r="C6975" s="8" t="s">
        <v>355</v>
      </c>
      <c r="D6975" s="8" t="str">
        <f>"9783110553314"</f>
        <v>9783110553314</v>
      </c>
    </row>
    <row r="6976" spans="1:4" x14ac:dyDescent="0.25">
      <c r="A6976" s="7" t="s">
        <v>430</v>
      </c>
      <c r="B6976" s="8" t="s">
        <v>431</v>
      </c>
      <c r="C6976" s="8" t="s">
        <v>227</v>
      </c>
      <c r="D6976" s="8" t="str">
        <f>"9781847790873"</f>
        <v>9781847790873</v>
      </c>
    </row>
    <row r="6977" spans="1:4" ht="30" x14ac:dyDescent="0.25">
      <c r="A6977" s="7" t="s">
        <v>8845</v>
      </c>
      <c r="B6977" s="8" t="s">
        <v>8846</v>
      </c>
      <c r="C6977" s="8" t="s">
        <v>5134</v>
      </c>
      <c r="D6977" s="8" t="str">
        <f>"9783662637937"</f>
        <v>9783662637937</v>
      </c>
    </row>
    <row r="6978" spans="1:4" x14ac:dyDescent="0.25">
      <c r="A6978" s="7" t="s">
        <v>11374</v>
      </c>
      <c r="B6978" s="8" t="s">
        <v>11292</v>
      </c>
      <c r="C6978" s="8" t="s">
        <v>355</v>
      </c>
      <c r="D6978" s="8" t="str">
        <f>"9783110622645"</f>
        <v>9783110622645</v>
      </c>
    </row>
    <row r="6979" spans="1:4" ht="30" x14ac:dyDescent="0.25">
      <c r="A6979" s="7" t="s">
        <v>10169</v>
      </c>
      <c r="B6979" s="8" t="s">
        <v>10170</v>
      </c>
      <c r="C6979" s="8" t="s">
        <v>993</v>
      </c>
      <c r="D6979" s="8" t="str">
        <f>"9783839442265"</f>
        <v>9783839442265</v>
      </c>
    </row>
    <row r="6980" spans="1:4" ht="30" x14ac:dyDescent="0.25">
      <c r="A6980" s="7" t="s">
        <v>3830</v>
      </c>
      <c r="B6980" s="8" t="s">
        <v>3831</v>
      </c>
      <c r="C6980" s="8" t="s">
        <v>355</v>
      </c>
      <c r="D6980" s="8" t="str">
        <f>"9783110464252"</f>
        <v>9783110464252</v>
      </c>
    </row>
    <row r="6981" spans="1:4" x14ac:dyDescent="0.25">
      <c r="A6981" s="7" t="s">
        <v>9742</v>
      </c>
      <c r="B6981" s="8" t="s">
        <v>9743</v>
      </c>
      <c r="C6981" s="8" t="s">
        <v>993</v>
      </c>
      <c r="D6981" s="8" t="str">
        <f>"9783839403228"</f>
        <v>9783839403228</v>
      </c>
    </row>
    <row r="6982" spans="1:4" x14ac:dyDescent="0.25">
      <c r="A6982" s="7" t="s">
        <v>11617</v>
      </c>
      <c r="B6982" s="8" t="s">
        <v>11618</v>
      </c>
      <c r="C6982" s="8" t="s">
        <v>355</v>
      </c>
      <c r="D6982" s="8" t="str">
        <f>"9783110615746"</f>
        <v>9783110615746</v>
      </c>
    </row>
    <row r="6983" spans="1:4" x14ac:dyDescent="0.25">
      <c r="A6983" s="7" t="s">
        <v>11837</v>
      </c>
      <c r="B6983" s="8" t="s">
        <v>11838</v>
      </c>
      <c r="C6983" s="8" t="s">
        <v>355</v>
      </c>
      <c r="D6983" s="8" t="str">
        <f>"9783110622652"</f>
        <v>9783110622652</v>
      </c>
    </row>
    <row r="6984" spans="1:4" x14ac:dyDescent="0.25">
      <c r="A6984" s="7" t="s">
        <v>11900</v>
      </c>
      <c r="B6984" s="8" t="s">
        <v>11901</v>
      </c>
      <c r="C6984" s="8" t="s">
        <v>355</v>
      </c>
      <c r="D6984" s="8" t="str">
        <f>"9783110622836"</f>
        <v>9783110622836</v>
      </c>
    </row>
    <row r="6985" spans="1:4" x14ac:dyDescent="0.25">
      <c r="A6985" s="7" t="s">
        <v>12405</v>
      </c>
      <c r="B6985" s="8" t="s">
        <v>12406</v>
      </c>
      <c r="C6985" s="8" t="s">
        <v>355</v>
      </c>
      <c r="D6985" s="8" t="str">
        <f>"9783110784756"</f>
        <v>9783110784756</v>
      </c>
    </row>
    <row r="6986" spans="1:4" ht="30" x14ac:dyDescent="0.25">
      <c r="A6986" s="7" t="s">
        <v>11445</v>
      </c>
      <c r="B6986" s="8" t="s">
        <v>11446</v>
      </c>
      <c r="C6986" s="8" t="s">
        <v>355</v>
      </c>
      <c r="D6986" s="8" t="str">
        <f>"9783110601268"</f>
        <v>9783110601268</v>
      </c>
    </row>
    <row r="6987" spans="1:4" x14ac:dyDescent="0.25">
      <c r="A6987" s="7" t="s">
        <v>11691</v>
      </c>
      <c r="B6987" s="8" t="s">
        <v>11692</v>
      </c>
      <c r="C6987" s="8" t="s">
        <v>355</v>
      </c>
      <c r="D6987" s="8" t="str">
        <f>"9783110573664"</f>
        <v>9783110573664</v>
      </c>
    </row>
    <row r="6988" spans="1:4" ht="30" x14ac:dyDescent="0.25">
      <c r="A6988" s="7" t="s">
        <v>6685</v>
      </c>
      <c r="B6988" s="8" t="s">
        <v>6686</v>
      </c>
      <c r="C6988" s="8" t="s">
        <v>5086</v>
      </c>
      <c r="D6988" s="8" t="str">
        <f>"9783658330033"</f>
        <v>9783658330033</v>
      </c>
    </row>
    <row r="6989" spans="1:4" x14ac:dyDescent="0.25">
      <c r="A6989" s="7" t="s">
        <v>7156</v>
      </c>
      <c r="B6989" s="8" t="s">
        <v>7157</v>
      </c>
      <c r="C6989" s="8" t="s">
        <v>355</v>
      </c>
      <c r="D6989" s="8" t="str">
        <f>"9783110586770"</f>
        <v>9783110586770</v>
      </c>
    </row>
    <row r="6990" spans="1:4" x14ac:dyDescent="0.25">
      <c r="A6990" s="7" t="s">
        <v>4391</v>
      </c>
      <c r="B6990" s="8" t="s">
        <v>4392</v>
      </c>
      <c r="C6990" s="8" t="s">
        <v>1345</v>
      </c>
      <c r="D6990" s="8" t="str">
        <f>"9783737606554"</f>
        <v>9783737606554</v>
      </c>
    </row>
    <row r="6991" spans="1:4" x14ac:dyDescent="0.25">
      <c r="A6991" s="7" t="s">
        <v>7466</v>
      </c>
      <c r="B6991" s="8" t="s">
        <v>7467</v>
      </c>
      <c r="C6991" s="8" t="s">
        <v>993</v>
      </c>
      <c r="D6991" s="8" t="str">
        <f>"9783839435472"</f>
        <v>9783839435472</v>
      </c>
    </row>
    <row r="6992" spans="1:4" x14ac:dyDescent="0.25">
      <c r="A6992" s="7" t="s">
        <v>14189</v>
      </c>
      <c r="B6992" s="8" t="s">
        <v>14190</v>
      </c>
      <c r="C6992" s="8" t="s">
        <v>9256</v>
      </c>
      <c r="D6992" s="8" t="str">
        <f>"9788021099500"</f>
        <v>9788021099500</v>
      </c>
    </row>
    <row r="6993" spans="1:4" ht="45" x14ac:dyDescent="0.25">
      <c r="A6993" s="7" t="s">
        <v>1172</v>
      </c>
      <c r="B6993" s="8" t="s">
        <v>31</v>
      </c>
      <c r="C6993" s="8" t="s">
        <v>316</v>
      </c>
      <c r="D6993" s="8" t="str">
        <f>"9783110874914"</f>
        <v>9783110874914</v>
      </c>
    </row>
    <row r="6994" spans="1:4" ht="30" x14ac:dyDescent="0.25">
      <c r="A6994" s="7" t="s">
        <v>12891</v>
      </c>
      <c r="B6994" s="8" t="s">
        <v>12892</v>
      </c>
      <c r="C6994" s="8" t="s">
        <v>12712</v>
      </c>
      <c r="D6994" s="8" t="str">
        <f>"9783428444526"</f>
        <v>9783428444526</v>
      </c>
    </row>
    <row r="6995" spans="1:4" ht="30" x14ac:dyDescent="0.25">
      <c r="A6995" s="7" t="s">
        <v>10333</v>
      </c>
      <c r="B6995" s="8" t="s">
        <v>10334</v>
      </c>
      <c r="C6995" s="8" t="s">
        <v>993</v>
      </c>
      <c r="D6995" s="8" t="str">
        <f>"9783839449042"</f>
        <v>9783839449042</v>
      </c>
    </row>
    <row r="6996" spans="1:4" ht="30" x14ac:dyDescent="0.25">
      <c r="A6996" s="7" t="s">
        <v>12902</v>
      </c>
      <c r="B6996" s="8" t="s">
        <v>12903</v>
      </c>
      <c r="C6996" s="8" t="s">
        <v>12712</v>
      </c>
      <c r="D6996" s="8" t="str">
        <f>"9783428447169"</f>
        <v>9783428447169</v>
      </c>
    </row>
    <row r="6997" spans="1:4" ht="30" x14ac:dyDescent="0.25">
      <c r="A6997" s="7" t="s">
        <v>6301</v>
      </c>
      <c r="B6997" s="8" t="s">
        <v>6302</v>
      </c>
      <c r="C6997" s="8" t="s">
        <v>993</v>
      </c>
      <c r="D6997" s="8" t="str">
        <f>"9783839454268"</f>
        <v>9783839454268</v>
      </c>
    </row>
    <row r="6998" spans="1:4" ht="30" x14ac:dyDescent="0.25">
      <c r="A6998" s="7" t="s">
        <v>12943</v>
      </c>
      <c r="B6998" s="8" t="s">
        <v>12944</v>
      </c>
      <c r="C6998" s="8" t="s">
        <v>12712</v>
      </c>
      <c r="D6998" s="8" t="str">
        <f>"9783428454204"</f>
        <v>9783428454204</v>
      </c>
    </row>
    <row r="6999" spans="1:4" x14ac:dyDescent="0.25">
      <c r="A6999" s="7" t="s">
        <v>12594</v>
      </c>
      <c r="B6999" s="8" t="s">
        <v>12595</v>
      </c>
      <c r="C6999" s="8" t="s">
        <v>355</v>
      </c>
      <c r="D6999" s="8" t="str">
        <f>"9783110786965"</f>
        <v>9783110786965</v>
      </c>
    </row>
    <row r="7000" spans="1:4" ht="60" x14ac:dyDescent="0.25">
      <c r="A7000" s="7" t="s">
        <v>1084</v>
      </c>
      <c r="B7000" s="8" t="s">
        <v>1085</v>
      </c>
      <c r="C7000" s="8" t="s">
        <v>316</v>
      </c>
      <c r="D7000" s="8" t="str">
        <f>"9783110894929"</f>
        <v>9783110894929</v>
      </c>
    </row>
    <row r="7001" spans="1:4" ht="30" x14ac:dyDescent="0.25">
      <c r="A7001" s="7" t="s">
        <v>12847</v>
      </c>
      <c r="B7001" s="8" t="s">
        <v>12774</v>
      </c>
      <c r="C7001" s="8" t="s">
        <v>12712</v>
      </c>
      <c r="D7001" s="8" t="str">
        <f>"9783428435586"</f>
        <v>9783428435586</v>
      </c>
    </row>
    <row r="7002" spans="1:4" ht="30" x14ac:dyDescent="0.25">
      <c r="A7002" s="7" t="s">
        <v>4549</v>
      </c>
      <c r="B7002" s="8" t="s">
        <v>4550</v>
      </c>
      <c r="C7002" s="8" t="s">
        <v>1865</v>
      </c>
      <c r="D7002" s="8" t="str">
        <f>"9789176850312"</f>
        <v>9789176850312</v>
      </c>
    </row>
    <row r="7003" spans="1:4" ht="30" x14ac:dyDescent="0.25">
      <c r="A7003" s="7" t="s">
        <v>2729</v>
      </c>
      <c r="B7003" s="8" t="s">
        <v>2730</v>
      </c>
      <c r="C7003" s="8" t="s">
        <v>1865</v>
      </c>
      <c r="D7003" s="8" t="str">
        <f>"9789176857373"</f>
        <v>9789176857373</v>
      </c>
    </row>
    <row r="7004" spans="1:4" ht="30" x14ac:dyDescent="0.25">
      <c r="A7004" s="7" t="s">
        <v>10863</v>
      </c>
      <c r="B7004" s="8" t="s">
        <v>10864</v>
      </c>
      <c r="C7004" s="8" t="s">
        <v>2273</v>
      </c>
      <c r="D7004" s="8" t="str">
        <f>"9783030926984"</f>
        <v>9783030926984</v>
      </c>
    </row>
    <row r="7005" spans="1:4" ht="30" x14ac:dyDescent="0.25">
      <c r="A7005" s="7" t="s">
        <v>8085</v>
      </c>
      <c r="B7005" s="8" t="s">
        <v>8086</v>
      </c>
      <c r="C7005" s="8" t="s">
        <v>993</v>
      </c>
      <c r="D7005" s="8" t="str">
        <f>"9783839459492"</f>
        <v>9783839459492</v>
      </c>
    </row>
    <row r="7006" spans="1:4" ht="30" x14ac:dyDescent="0.25">
      <c r="A7006" s="7" t="s">
        <v>12978</v>
      </c>
      <c r="B7006" s="8" t="s">
        <v>12979</v>
      </c>
      <c r="C7006" s="8" t="s">
        <v>12712</v>
      </c>
      <c r="D7006" s="8" t="str">
        <f>"9783428460434"</f>
        <v>9783428460434</v>
      </c>
    </row>
    <row r="7007" spans="1:4" x14ac:dyDescent="0.25">
      <c r="A7007" s="7" t="s">
        <v>14868</v>
      </c>
      <c r="B7007" s="8" t="s">
        <v>14869</v>
      </c>
      <c r="C7007" s="8" t="s">
        <v>1865</v>
      </c>
      <c r="D7007" s="8" t="str">
        <f>"9789175197791"</f>
        <v>9789175197791</v>
      </c>
    </row>
    <row r="7008" spans="1:4" x14ac:dyDescent="0.25">
      <c r="A7008" s="7" t="s">
        <v>8924</v>
      </c>
      <c r="B7008" s="8" t="s">
        <v>8925</v>
      </c>
      <c r="C7008" s="8" t="s">
        <v>1342</v>
      </c>
      <c r="D7008" s="8" t="str">
        <f>"9789633864401"</f>
        <v>9789633864401</v>
      </c>
    </row>
    <row r="7009" spans="1:4" ht="30" x14ac:dyDescent="0.25">
      <c r="A7009" s="7" t="s">
        <v>3155</v>
      </c>
      <c r="B7009" s="8" t="s">
        <v>3156</v>
      </c>
      <c r="C7009" s="8" t="s">
        <v>1865</v>
      </c>
      <c r="D7009" s="8" t="str">
        <f>"9789176855546"</f>
        <v>9789176855546</v>
      </c>
    </row>
    <row r="7010" spans="1:4" x14ac:dyDescent="0.25">
      <c r="A7010" s="7" t="s">
        <v>7006</v>
      </c>
      <c r="B7010" s="8" t="s">
        <v>57</v>
      </c>
      <c r="C7010" s="8" t="s">
        <v>355</v>
      </c>
      <c r="D7010" s="8" t="str">
        <f>"9783110660586"</f>
        <v>9783110660586</v>
      </c>
    </row>
    <row r="7011" spans="1:4" ht="30" x14ac:dyDescent="0.25">
      <c r="A7011" s="7" t="s">
        <v>12958</v>
      </c>
      <c r="B7011" s="8" t="s">
        <v>12959</v>
      </c>
      <c r="C7011" s="8" t="s">
        <v>12712</v>
      </c>
      <c r="D7011" s="8" t="str">
        <f>"9783428457724"</f>
        <v>9783428457724</v>
      </c>
    </row>
    <row r="7012" spans="1:4" x14ac:dyDescent="0.25">
      <c r="A7012" s="7" t="s">
        <v>1341</v>
      </c>
      <c r="B7012" s="8" t="s">
        <v>1343</v>
      </c>
      <c r="C7012" s="8" t="s">
        <v>1342</v>
      </c>
      <c r="D7012" s="8" t="str">
        <f>"9786155211812"</f>
        <v>9786155211812</v>
      </c>
    </row>
    <row r="7013" spans="1:4" x14ac:dyDescent="0.25">
      <c r="A7013" s="7" t="s">
        <v>9342</v>
      </c>
      <c r="B7013" s="8" t="s">
        <v>9335</v>
      </c>
      <c r="C7013" s="8" t="s">
        <v>9256</v>
      </c>
      <c r="D7013" s="8" t="str">
        <f>"9788021095823"</f>
        <v>9788021095823</v>
      </c>
    </row>
    <row r="7014" spans="1:4" x14ac:dyDescent="0.25">
      <c r="A7014" s="7" t="s">
        <v>5475</v>
      </c>
      <c r="B7014" s="8" t="s">
        <v>5476</v>
      </c>
      <c r="C7014" s="8" t="s">
        <v>5064</v>
      </c>
      <c r="D7014" s="8" t="str">
        <f>"9789814733519"</f>
        <v>9789814733519</v>
      </c>
    </row>
    <row r="7015" spans="1:4" ht="30" x14ac:dyDescent="0.25">
      <c r="A7015" s="7" t="s">
        <v>10890</v>
      </c>
      <c r="B7015" s="8" t="s">
        <v>10891</v>
      </c>
      <c r="C7015" s="8" t="s">
        <v>5086</v>
      </c>
      <c r="D7015" s="8" t="str">
        <f>"9783658361792"</f>
        <v>9783658361792</v>
      </c>
    </row>
    <row r="7016" spans="1:4" ht="30" x14ac:dyDescent="0.25">
      <c r="A7016" s="7" t="s">
        <v>15344</v>
      </c>
      <c r="B7016" s="8" t="s">
        <v>15345</v>
      </c>
      <c r="C7016" s="8" t="s">
        <v>1865</v>
      </c>
      <c r="D7016" s="8" t="str">
        <f>"9789176859469"</f>
        <v>9789176859469</v>
      </c>
    </row>
    <row r="7017" spans="1:4" ht="30" x14ac:dyDescent="0.25">
      <c r="A7017" s="7" t="s">
        <v>2809</v>
      </c>
      <c r="B7017" s="8" t="s">
        <v>2810</v>
      </c>
      <c r="C7017" s="8" t="s">
        <v>1345</v>
      </c>
      <c r="D7017" s="8" t="str">
        <f>"9783737602099"</f>
        <v>9783737602099</v>
      </c>
    </row>
    <row r="7018" spans="1:4" x14ac:dyDescent="0.25">
      <c r="A7018" s="7" t="s">
        <v>11749</v>
      </c>
      <c r="B7018" s="8" t="s">
        <v>11750</v>
      </c>
      <c r="C7018" s="8" t="s">
        <v>355</v>
      </c>
      <c r="D7018" s="8" t="str">
        <f>"9783486595536"</f>
        <v>9783486595536</v>
      </c>
    </row>
    <row r="7019" spans="1:4" ht="30" x14ac:dyDescent="0.25">
      <c r="A7019" s="7" t="s">
        <v>10259</v>
      </c>
      <c r="B7019" s="8" t="s">
        <v>116</v>
      </c>
      <c r="C7019" s="8" t="s">
        <v>993</v>
      </c>
      <c r="D7019" s="8" t="str">
        <f>"9783839446416"</f>
        <v>9783839446416</v>
      </c>
    </row>
    <row r="7020" spans="1:4" ht="30" x14ac:dyDescent="0.25">
      <c r="A7020" s="7" t="s">
        <v>10546</v>
      </c>
      <c r="B7020" s="8" t="s">
        <v>10547</v>
      </c>
      <c r="C7020" s="8" t="s">
        <v>993</v>
      </c>
      <c r="D7020" s="8" t="str">
        <f>"9783839459607"</f>
        <v>9783839459607</v>
      </c>
    </row>
    <row r="7021" spans="1:4" ht="30" x14ac:dyDescent="0.25">
      <c r="A7021" s="7" t="s">
        <v>1415</v>
      </c>
      <c r="B7021" s="8" t="s">
        <v>1416</v>
      </c>
      <c r="C7021" s="8" t="s">
        <v>1345</v>
      </c>
      <c r="D7021" s="8" t="str">
        <f>"9783862190638"</f>
        <v>9783862190638</v>
      </c>
    </row>
    <row r="7022" spans="1:4" x14ac:dyDescent="0.25">
      <c r="A7022" s="7" t="s">
        <v>862</v>
      </c>
      <c r="B7022" s="8" t="s">
        <v>863</v>
      </c>
      <c r="C7022" s="8" t="s">
        <v>562</v>
      </c>
      <c r="D7022" s="8" t="str">
        <f>"9780822376842"</f>
        <v>9780822376842</v>
      </c>
    </row>
    <row r="7023" spans="1:4" x14ac:dyDescent="0.25">
      <c r="A7023" s="7" t="s">
        <v>1801</v>
      </c>
      <c r="B7023" s="8" t="s">
        <v>1802</v>
      </c>
      <c r="C7023" s="8" t="s">
        <v>1345</v>
      </c>
      <c r="D7023" s="8" t="str">
        <f>"9783862194377"</f>
        <v>9783862194377</v>
      </c>
    </row>
    <row r="7024" spans="1:4" ht="30" x14ac:dyDescent="0.25">
      <c r="A7024" s="7" t="s">
        <v>2470</v>
      </c>
      <c r="B7024" s="8" t="s">
        <v>2471</v>
      </c>
      <c r="C7024" s="8" t="s">
        <v>1865</v>
      </c>
      <c r="D7024" s="8" t="str">
        <f>"9789176859421"</f>
        <v>9789176859421</v>
      </c>
    </row>
    <row r="7025" spans="1:4" x14ac:dyDescent="0.25">
      <c r="A7025" s="7" t="s">
        <v>2007</v>
      </c>
      <c r="B7025" s="8" t="s">
        <v>2008</v>
      </c>
      <c r="C7025" s="8" t="s">
        <v>1962</v>
      </c>
      <c r="D7025" s="8" t="str">
        <f>"9782759206926"</f>
        <v>9782759206926</v>
      </c>
    </row>
    <row r="7026" spans="1:4" x14ac:dyDescent="0.25">
      <c r="A7026" s="7" t="s">
        <v>13623</v>
      </c>
      <c r="B7026" s="8" t="s">
        <v>13624</v>
      </c>
      <c r="C7026" s="8" t="s">
        <v>2273</v>
      </c>
      <c r="D7026" s="8" t="str">
        <f>"9783031124099"</f>
        <v>9783031124099</v>
      </c>
    </row>
    <row r="7027" spans="1:4" ht="30" x14ac:dyDescent="0.25">
      <c r="A7027" s="7" t="s">
        <v>2717</v>
      </c>
      <c r="B7027" s="8" t="s">
        <v>2718</v>
      </c>
      <c r="C7027" s="8" t="s">
        <v>1345</v>
      </c>
      <c r="D7027" s="8" t="str">
        <f>"9783737601290"</f>
        <v>9783737601290</v>
      </c>
    </row>
    <row r="7028" spans="1:4" x14ac:dyDescent="0.25">
      <c r="A7028" s="7" t="s">
        <v>10913</v>
      </c>
      <c r="B7028" s="8" t="s">
        <v>10914</v>
      </c>
      <c r="C7028" s="8" t="s">
        <v>316</v>
      </c>
      <c r="D7028" s="8" t="str">
        <f>"9783110475838"</f>
        <v>9783110475838</v>
      </c>
    </row>
    <row r="7029" spans="1:4" ht="45" x14ac:dyDescent="0.25">
      <c r="A7029" s="7" t="s">
        <v>1593</v>
      </c>
      <c r="B7029" s="8" t="s">
        <v>1594</v>
      </c>
      <c r="C7029" s="8" t="s">
        <v>1345</v>
      </c>
      <c r="D7029" s="8" t="str">
        <f>"9783862193356"</f>
        <v>9783862193356</v>
      </c>
    </row>
    <row r="7030" spans="1:4" ht="45" x14ac:dyDescent="0.25">
      <c r="A7030" s="7" t="s">
        <v>13280</v>
      </c>
      <c r="B7030" s="8" t="s">
        <v>13276</v>
      </c>
      <c r="C7030" s="8" t="s">
        <v>12712</v>
      </c>
      <c r="D7030" s="8" t="str">
        <f>"9783428574438"</f>
        <v>9783428574438</v>
      </c>
    </row>
    <row r="7031" spans="1:4" ht="30" x14ac:dyDescent="0.25">
      <c r="A7031" s="7" t="s">
        <v>12383</v>
      </c>
      <c r="B7031" s="8" t="s">
        <v>12384</v>
      </c>
      <c r="C7031" s="8" t="s">
        <v>2273</v>
      </c>
      <c r="D7031" s="8" t="str">
        <f>"9783031041662"</f>
        <v>9783031041662</v>
      </c>
    </row>
    <row r="7032" spans="1:4" ht="30" x14ac:dyDescent="0.25">
      <c r="A7032" s="7" t="s">
        <v>11167</v>
      </c>
      <c r="B7032" s="8" t="s">
        <v>11168</v>
      </c>
      <c r="C7032" s="8" t="s">
        <v>355</v>
      </c>
      <c r="D7032" s="8" t="str">
        <f>"9783110707151"</f>
        <v>9783110707151</v>
      </c>
    </row>
    <row r="7033" spans="1:4" x14ac:dyDescent="0.25">
      <c r="A7033" s="7" t="s">
        <v>8156</v>
      </c>
      <c r="B7033" s="8" t="s">
        <v>8157</v>
      </c>
      <c r="C7033" s="8" t="s">
        <v>993</v>
      </c>
      <c r="D7033" s="8" t="str">
        <f>"9783839449837"</f>
        <v>9783839449837</v>
      </c>
    </row>
    <row r="7034" spans="1:4" ht="60" x14ac:dyDescent="0.25">
      <c r="A7034" s="7" t="s">
        <v>13337</v>
      </c>
      <c r="B7034" s="8" t="s">
        <v>189</v>
      </c>
      <c r="C7034" s="8" t="s">
        <v>12712</v>
      </c>
      <c r="D7034" s="8" t="str">
        <f>"9783428574971"</f>
        <v>9783428574971</v>
      </c>
    </row>
    <row r="7035" spans="1:4" x14ac:dyDescent="0.25">
      <c r="A7035" s="7" t="s">
        <v>15689</v>
      </c>
      <c r="B7035" s="8" t="s">
        <v>15690</v>
      </c>
      <c r="C7035" s="8" t="s">
        <v>1865</v>
      </c>
      <c r="D7035" s="8" t="str">
        <f>"9789175196749"</f>
        <v>9789175196749</v>
      </c>
    </row>
    <row r="7036" spans="1:4" x14ac:dyDescent="0.25">
      <c r="A7036" s="7" t="s">
        <v>1405</v>
      </c>
      <c r="B7036" s="8" t="s">
        <v>1406</v>
      </c>
      <c r="C7036" s="8" t="s">
        <v>1345</v>
      </c>
      <c r="D7036" s="8" t="str">
        <f>"9783862191956"</f>
        <v>9783862191956</v>
      </c>
    </row>
    <row r="7037" spans="1:4" x14ac:dyDescent="0.25">
      <c r="A7037" s="7" t="s">
        <v>11818</v>
      </c>
      <c r="B7037" s="8" t="s">
        <v>11292</v>
      </c>
      <c r="C7037" s="8" t="s">
        <v>355</v>
      </c>
      <c r="D7037" s="8" t="str">
        <f>"9783110622515"</f>
        <v>9783110622515</v>
      </c>
    </row>
    <row r="7038" spans="1:4" x14ac:dyDescent="0.25">
      <c r="A7038" s="7" t="s">
        <v>10742</v>
      </c>
      <c r="B7038" s="8" t="s">
        <v>10743</v>
      </c>
      <c r="C7038" s="8" t="s">
        <v>1876</v>
      </c>
      <c r="D7038" s="8" t="str">
        <f>"9780980510836"</f>
        <v>9780980510836</v>
      </c>
    </row>
    <row r="7039" spans="1:4" x14ac:dyDescent="0.25">
      <c r="A7039" s="7" t="s">
        <v>10502</v>
      </c>
      <c r="B7039" s="8" t="s">
        <v>7674</v>
      </c>
      <c r="C7039" s="8" t="s">
        <v>993</v>
      </c>
      <c r="D7039" s="8" t="str">
        <f>"9783839458280"</f>
        <v>9783839458280</v>
      </c>
    </row>
    <row r="7040" spans="1:4" ht="30" x14ac:dyDescent="0.25">
      <c r="A7040" s="7" t="s">
        <v>9674</v>
      </c>
      <c r="B7040" s="8" t="s">
        <v>9675</v>
      </c>
      <c r="C7040" s="8" t="s">
        <v>993</v>
      </c>
      <c r="D7040" s="8" t="str">
        <f>"9783839400975"</f>
        <v>9783839400975</v>
      </c>
    </row>
    <row r="7041" spans="1:4" x14ac:dyDescent="0.25">
      <c r="A7041" s="7" t="s">
        <v>3261</v>
      </c>
      <c r="B7041" s="8" t="s">
        <v>3262</v>
      </c>
      <c r="C7041" s="8" t="s">
        <v>1865</v>
      </c>
      <c r="D7041" s="8" t="str">
        <f>"9789176854952"</f>
        <v>9789176854952</v>
      </c>
    </row>
    <row r="7042" spans="1:4" ht="30" x14ac:dyDescent="0.25">
      <c r="A7042" s="7" t="s">
        <v>9355</v>
      </c>
      <c r="B7042" s="8" t="s">
        <v>9356</v>
      </c>
      <c r="C7042" s="8" t="s">
        <v>9256</v>
      </c>
      <c r="D7042" s="8" t="str">
        <f>"9788021096059"</f>
        <v>9788021096059</v>
      </c>
    </row>
    <row r="7043" spans="1:4" ht="30" x14ac:dyDescent="0.25">
      <c r="A7043" s="7" t="s">
        <v>13767</v>
      </c>
      <c r="B7043" s="8" t="s">
        <v>13768</v>
      </c>
      <c r="C7043" s="8" t="s">
        <v>2273</v>
      </c>
      <c r="D7043" s="8" t="str">
        <f>"9783031189883"</f>
        <v>9783031189883</v>
      </c>
    </row>
    <row r="7044" spans="1:4" ht="30" x14ac:dyDescent="0.25">
      <c r="A7044" s="7" t="s">
        <v>6255</v>
      </c>
      <c r="B7044" s="8" t="s">
        <v>6256</v>
      </c>
      <c r="C7044" s="8" t="s">
        <v>2273</v>
      </c>
      <c r="D7044" s="8" t="str">
        <f>"9783319234250"</f>
        <v>9783319234250</v>
      </c>
    </row>
    <row r="7045" spans="1:4" x14ac:dyDescent="0.25">
      <c r="A7045" s="7" t="s">
        <v>7782</v>
      </c>
      <c r="B7045" s="8" t="s">
        <v>7783</v>
      </c>
      <c r="C7045" s="8" t="s">
        <v>1962</v>
      </c>
      <c r="D7045" s="8" t="str">
        <f>"9782759231492"</f>
        <v>9782759231492</v>
      </c>
    </row>
    <row r="7046" spans="1:4" x14ac:dyDescent="0.25">
      <c r="A7046" s="7" t="s">
        <v>12128</v>
      </c>
      <c r="B7046" s="8" t="s">
        <v>12129</v>
      </c>
      <c r="C7046" s="8" t="s">
        <v>355</v>
      </c>
      <c r="D7046" s="8" t="str">
        <f>"9783110761108"</f>
        <v>9783110761108</v>
      </c>
    </row>
    <row r="7047" spans="1:4" x14ac:dyDescent="0.25">
      <c r="A7047" s="7" t="s">
        <v>3525</v>
      </c>
      <c r="B7047" s="8" t="s">
        <v>3526</v>
      </c>
      <c r="C7047" s="8" t="s">
        <v>1879</v>
      </c>
      <c r="D7047" s="8" t="str">
        <f>"9781909254879"</f>
        <v>9781909254879</v>
      </c>
    </row>
    <row r="7048" spans="1:4" x14ac:dyDescent="0.25">
      <c r="A7048" s="7" t="s">
        <v>529</v>
      </c>
      <c r="B7048" s="8" t="s">
        <v>530</v>
      </c>
      <c r="C7048" s="8" t="s">
        <v>227</v>
      </c>
      <c r="D7048" s="8" t="str">
        <f>"9781847792723"</f>
        <v>9781847792723</v>
      </c>
    </row>
    <row r="7049" spans="1:4" x14ac:dyDescent="0.25">
      <c r="A7049" s="7" t="s">
        <v>11211</v>
      </c>
      <c r="B7049" s="8"/>
      <c r="C7049" s="8"/>
      <c r="D7049" s="8"/>
    </row>
    <row r="7050" spans="1:4" x14ac:dyDescent="0.25">
      <c r="A7050" s="7" t="s">
        <v>4071</v>
      </c>
      <c r="B7050" s="8" t="s">
        <v>4072</v>
      </c>
      <c r="C7050" s="8" t="s">
        <v>2073</v>
      </c>
      <c r="D7050" s="8" t="str">
        <f>"9781438471471"</f>
        <v>9781438471471</v>
      </c>
    </row>
    <row r="7051" spans="1:4" x14ac:dyDescent="0.25">
      <c r="A7051" s="7" t="s">
        <v>1934</v>
      </c>
      <c r="B7051" s="8" t="s">
        <v>1935</v>
      </c>
      <c r="C7051" s="8" t="s">
        <v>1879</v>
      </c>
      <c r="D7051" s="8" t="str">
        <f>"9781909254619"</f>
        <v>9781909254619</v>
      </c>
    </row>
    <row r="7052" spans="1:4" x14ac:dyDescent="0.25">
      <c r="A7052" s="7" t="s">
        <v>6245</v>
      </c>
      <c r="B7052" s="8" t="s">
        <v>6246</v>
      </c>
      <c r="C7052" s="8" t="s">
        <v>5134</v>
      </c>
      <c r="D7052" s="8" t="str">
        <f>"9783662602966"</f>
        <v>9783662602966</v>
      </c>
    </row>
    <row r="7053" spans="1:4" ht="30" x14ac:dyDescent="0.25">
      <c r="A7053" s="7" t="s">
        <v>8335</v>
      </c>
      <c r="B7053" s="8" t="s">
        <v>8336</v>
      </c>
      <c r="C7053" s="8" t="s">
        <v>993</v>
      </c>
      <c r="D7053" s="8" t="str">
        <f>"9783839451632"</f>
        <v>9783839451632</v>
      </c>
    </row>
    <row r="7054" spans="1:4" ht="30" x14ac:dyDescent="0.25">
      <c r="A7054" s="7" t="s">
        <v>1279</v>
      </c>
      <c r="B7054" s="8" t="s">
        <v>1280</v>
      </c>
      <c r="C7054" s="8" t="s">
        <v>1224</v>
      </c>
      <c r="D7054" s="8" t="str">
        <f>"9781618117076"</f>
        <v>9781618117076</v>
      </c>
    </row>
    <row r="7055" spans="1:4" ht="30" x14ac:dyDescent="0.25">
      <c r="A7055" s="7" t="s">
        <v>7937</v>
      </c>
      <c r="B7055" s="8" t="s">
        <v>7938</v>
      </c>
      <c r="C7055" s="8" t="s">
        <v>1962</v>
      </c>
      <c r="D7055" s="8" t="str">
        <f>"9782759231034"</f>
        <v>9782759231034</v>
      </c>
    </row>
    <row r="7056" spans="1:4" ht="30" x14ac:dyDescent="0.25">
      <c r="A7056" s="7" t="s">
        <v>14269</v>
      </c>
      <c r="B7056" s="8" t="s">
        <v>14270</v>
      </c>
      <c r="C7056" s="8" t="s">
        <v>2274</v>
      </c>
      <c r="D7056" s="8" t="str">
        <f>"9783031248801"</f>
        <v>9783031248801</v>
      </c>
    </row>
    <row r="7057" spans="1:4" ht="30" x14ac:dyDescent="0.25">
      <c r="A7057" s="7" t="s">
        <v>2335</v>
      </c>
      <c r="B7057" s="8" t="s">
        <v>2336</v>
      </c>
      <c r="C7057" s="8" t="s">
        <v>993</v>
      </c>
      <c r="D7057" s="8" t="str">
        <f>"9783839424766"</f>
        <v>9783839424766</v>
      </c>
    </row>
    <row r="7058" spans="1:4" x14ac:dyDescent="0.25">
      <c r="A7058" s="7" t="s">
        <v>1681</v>
      </c>
      <c r="B7058" s="8" t="s">
        <v>1682</v>
      </c>
      <c r="C7058" s="8" t="s">
        <v>1345</v>
      </c>
      <c r="D7058" s="8" t="str">
        <f>"9783862191611"</f>
        <v>9783862191611</v>
      </c>
    </row>
    <row r="7059" spans="1:4" x14ac:dyDescent="0.25">
      <c r="A7059" s="7" t="s">
        <v>7997</v>
      </c>
      <c r="B7059" s="8" t="s">
        <v>7998</v>
      </c>
      <c r="C7059" s="8" t="s">
        <v>1962</v>
      </c>
      <c r="D7059" s="8" t="str">
        <f>"9782759220038"</f>
        <v>9782759220038</v>
      </c>
    </row>
    <row r="7060" spans="1:4" ht="30" x14ac:dyDescent="0.25">
      <c r="A7060" s="7" t="s">
        <v>7976</v>
      </c>
      <c r="B7060" s="8" t="s">
        <v>7977</v>
      </c>
      <c r="C7060" s="8" t="s">
        <v>1962</v>
      </c>
      <c r="D7060" s="8" t="str">
        <f>"9782759229062"</f>
        <v>9782759229062</v>
      </c>
    </row>
    <row r="7061" spans="1:4" x14ac:dyDescent="0.25">
      <c r="A7061" s="7" t="s">
        <v>341</v>
      </c>
      <c r="B7061" s="8" t="s">
        <v>342</v>
      </c>
      <c r="C7061" s="8" t="s">
        <v>316</v>
      </c>
      <c r="D7061" s="8" t="str">
        <f>"9783598441776"</f>
        <v>9783598441776</v>
      </c>
    </row>
    <row r="7062" spans="1:4" ht="30" x14ac:dyDescent="0.25">
      <c r="A7062" s="7" t="s">
        <v>14918</v>
      </c>
      <c r="B7062" s="8" t="s">
        <v>14919</v>
      </c>
      <c r="C7062" s="8" t="s">
        <v>1865</v>
      </c>
      <c r="D7062" s="8" t="str">
        <f>"9789175197982"</f>
        <v>9789175197982</v>
      </c>
    </row>
    <row r="7063" spans="1:4" x14ac:dyDescent="0.25">
      <c r="A7063" s="7" t="s">
        <v>15886</v>
      </c>
      <c r="B7063" s="8" t="s">
        <v>2471</v>
      </c>
      <c r="C7063" s="8" t="s">
        <v>1865</v>
      </c>
      <c r="D7063" s="8" t="str">
        <f>"9789175196282"</f>
        <v>9789175196282</v>
      </c>
    </row>
    <row r="7064" spans="1:4" x14ac:dyDescent="0.25">
      <c r="A7064" s="7" t="s">
        <v>14840</v>
      </c>
      <c r="B7064" s="8" t="s">
        <v>14841</v>
      </c>
      <c r="C7064" s="8" t="s">
        <v>1865</v>
      </c>
      <c r="D7064" s="8" t="str">
        <f>"9789176858059"</f>
        <v>9789176858059</v>
      </c>
    </row>
    <row r="7065" spans="1:4" x14ac:dyDescent="0.25">
      <c r="A7065" s="7" t="s">
        <v>15137</v>
      </c>
      <c r="B7065" s="8" t="s">
        <v>2517</v>
      </c>
      <c r="C7065" s="8" t="s">
        <v>1865</v>
      </c>
      <c r="D7065" s="8" t="str">
        <f>"9789175197036"</f>
        <v>9789175197036</v>
      </c>
    </row>
    <row r="7066" spans="1:4" ht="30" x14ac:dyDescent="0.25">
      <c r="A7066" s="7" t="s">
        <v>15999</v>
      </c>
      <c r="B7066" s="8" t="s">
        <v>16000</v>
      </c>
      <c r="C7066" s="8" t="s">
        <v>1865</v>
      </c>
      <c r="D7066" s="8" t="str">
        <f>"9789176857960"</f>
        <v>9789176857960</v>
      </c>
    </row>
    <row r="7067" spans="1:4" x14ac:dyDescent="0.25">
      <c r="A7067" s="7" t="s">
        <v>2418</v>
      </c>
      <c r="B7067" s="8" t="s">
        <v>2419</v>
      </c>
      <c r="C7067" s="8" t="s">
        <v>1865</v>
      </c>
      <c r="D7067" s="8" t="str">
        <f>"9789176859735"</f>
        <v>9789176859735</v>
      </c>
    </row>
    <row r="7068" spans="1:4" ht="30" x14ac:dyDescent="0.25">
      <c r="A7068" s="7" t="s">
        <v>10661</v>
      </c>
      <c r="B7068" s="8" t="s">
        <v>10662</v>
      </c>
      <c r="C7068" s="8" t="s">
        <v>5086</v>
      </c>
      <c r="D7068" s="8" t="str">
        <f>"9783658374389"</f>
        <v>9783658374389</v>
      </c>
    </row>
    <row r="7069" spans="1:4" ht="30" x14ac:dyDescent="0.25">
      <c r="A7069" s="7" t="s">
        <v>2526</v>
      </c>
      <c r="B7069" s="8" t="s">
        <v>2527</v>
      </c>
      <c r="C7069" s="8" t="s">
        <v>1865</v>
      </c>
      <c r="D7069" s="8" t="str">
        <f>"9789176858561"</f>
        <v>9789176858561</v>
      </c>
    </row>
    <row r="7070" spans="1:4" ht="30" x14ac:dyDescent="0.25">
      <c r="A7070" s="7" t="s">
        <v>3067</v>
      </c>
      <c r="B7070" s="8" t="s">
        <v>3068</v>
      </c>
      <c r="C7070" s="8" t="s">
        <v>355</v>
      </c>
      <c r="D7070" s="8" t="str">
        <f>"9783110471748"</f>
        <v>9783110471748</v>
      </c>
    </row>
    <row r="7071" spans="1:4" ht="30" x14ac:dyDescent="0.25">
      <c r="A7071" s="7" t="s">
        <v>15553</v>
      </c>
      <c r="B7071" s="8" t="s">
        <v>15554</v>
      </c>
      <c r="C7071" s="8" t="s">
        <v>1865</v>
      </c>
      <c r="D7071" s="8" t="str">
        <f>"9789175197548"</f>
        <v>9789175197548</v>
      </c>
    </row>
    <row r="7072" spans="1:4" x14ac:dyDescent="0.25">
      <c r="A7072" s="7" t="s">
        <v>2846</v>
      </c>
      <c r="B7072" s="8" t="s">
        <v>2847</v>
      </c>
      <c r="C7072" s="8" t="s">
        <v>1865</v>
      </c>
      <c r="D7072" s="8" t="str">
        <f>"9789176856789"</f>
        <v>9789176856789</v>
      </c>
    </row>
    <row r="7073" spans="1:4" x14ac:dyDescent="0.25">
      <c r="A7073" s="7" t="s">
        <v>16315</v>
      </c>
      <c r="B7073" s="8" t="s">
        <v>7797</v>
      </c>
      <c r="C7073" s="8" t="s">
        <v>1865</v>
      </c>
      <c r="D7073" s="8" t="str">
        <f>"9789176850817"</f>
        <v>9789176850817</v>
      </c>
    </row>
    <row r="7074" spans="1:4" x14ac:dyDescent="0.25">
      <c r="A7074" s="7" t="s">
        <v>7928</v>
      </c>
      <c r="B7074" s="8" t="s">
        <v>7929</v>
      </c>
      <c r="C7074" s="8" t="s">
        <v>2273</v>
      </c>
      <c r="D7074" s="8" t="str">
        <f>"9783030721923"</f>
        <v>9783030721923</v>
      </c>
    </row>
    <row r="7075" spans="1:4" ht="30" x14ac:dyDescent="0.25">
      <c r="A7075" s="7" t="s">
        <v>2472</v>
      </c>
      <c r="B7075" s="8" t="s">
        <v>2473</v>
      </c>
      <c r="C7075" s="8" t="s">
        <v>1865</v>
      </c>
      <c r="D7075" s="8" t="str">
        <f>"9789176859841"</f>
        <v>9789176859841</v>
      </c>
    </row>
    <row r="7076" spans="1:4" x14ac:dyDescent="0.25">
      <c r="A7076" s="7" t="s">
        <v>3163</v>
      </c>
      <c r="B7076" s="8" t="s">
        <v>3164</v>
      </c>
      <c r="C7076" s="8" t="s">
        <v>1865</v>
      </c>
      <c r="D7076" s="8" t="str">
        <f>"9789176855058"</f>
        <v>9789176855058</v>
      </c>
    </row>
    <row r="7077" spans="1:4" x14ac:dyDescent="0.25">
      <c r="A7077" s="7" t="s">
        <v>15580</v>
      </c>
      <c r="B7077" s="8" t="s">
        <v>15581</v>
      </c>
      <c r="C7077" s="8" t="s">
        <v>1865</v>
      </c>
      <c r="D7077" s="8" t="str">
        <f>"9789175198002"</f>
        <v>9789175198002</v>
      </c>
    </row>
    <row r="7078" spans="1:4" x14ac:dyDescent="0.25">
      <c r="A7078" s="7" t="s">
        <v>16234</v>
      </c>
      <c r="B7078" s="8" t="s">
        <v>16235</v>
      </c>
      <c r="C7078" s="8" t="s">
        <v>1865</v>
      </c>
      <c r="D7078" s="8" t="str">
        <f>"9789175198989"</f>
        <v>9789175198989</v>
      </c>
    </row>
    <row r="7079" spans="1:4" ht="30" x14ac:dyDescent="0.25">
      <c r="A7079" s="7" t="s">
        <v>2541</v>
      </c>
      <c r="B7079" s="8" t="s">
        <v>2542</v>
      </c>
      <c r="C7079" s="8" t="s">
        <v>1865</v>
      </c>
      <c r="D7079" s="8" t="str">
        <f>"9789176858530"</f>
        <v>9789176858530</v>
      </c>
    </row>
    <row r="7080" spans="1:4" x14ac:dyDescent="0.25">
      <c r="A7080" s="7" t="s">
        <v>15596</v>
      </c>
      <c r="B7080" s="8" t="s">
        <v>15597</v>
      </c>
      <c r="C7080" s="8" t="s">
        <v>1865</v>
      </c>
      <c r="D7080" s="8" t="str">
        <f>"9789175191379"</f>
        <v>9789175191379</v>
      </c>
    </row>
    <row r="7081" spans="1:4" ht="30" x14ac:dyDescent="0.25">
      <c r="A7081" s="7" t="s">
        <v>4423</v>
      </c>
      <c r="B7081" s="8" t="s">
        <v>4424</v>
      </c>
      <c r="C7081" s="8" t="s">
        <v>1865</v>
      </c>
      <c r="D7081" s="8" t="str">
        <f>"9789176851029"</f>
        <v>9789176851029</v>
      </c>
    </row>
    <row r="7082" spans="1:4" x14ac:dyDescent="0.25">
      <c r="A7082" s="7" t="s">
        <v>3120</v>
      </c>
      <c r="B7082" s="8" t="s">
        <v>3121</v>
      </c>
      <c r="C7082" s="8" t="s">
        <v>1865</v>
      </c>
      <c r="D7082" s="8" t="str">
        <f>"9789176855287"</f>
        <v>9789176855287</v>
      </c>
    </row>
    <row r="7083" spans="1:4" x14ac:dyDescent="0.25">
      <c r="A7083" s="7" t="s">
        <v>11132</v>
      </c>
      <c r="B7083" s="8" t="s">
        <v>11133</v>
      </c>
      <c r="C7083" s="8" t="s">
        <v>1876</v>
      </c>
      <c r="D7083" s="8" t="str">
        <f>"9780975747537"</f>
        <v>9780975747537</v>
      </c>
    </row>
    <row r="7084" spans="1:4" x14ac:dyDescent="0.25">
      <c r="A7084" s="7" t="s">
        <v>12829</v>
      </c>
      <c r="B7084" s="8" t="s">
        <v>12820</v>
      </c>
      <c r="C7084" s="8" t="s">
        <v>12712</v>
      </c>
      <c r="D7084" s="8" t="str">
        <f>"9783428431670"</f>
        <v>9783428431670</v>
      </c>
    </row>
    <row r="7085" spans="1:4" x14ac:dyDescent="0.25">
      <c r="A7085" s="7" t="s">
        <v>12866</v>
      </c>
      <c r="B7085" s="8" t="s">
        <v>12812</v>
      </c>
      <c r="C7085" s="8" t="s">
        <v>12712</v>
      </c>
      <c r="D7085" s="8" t="str">
        <f>"9783428440481"</f>
        <v>9783428440481</v>
      </c>
    </row>
    <row r="7086" spans="1:4" ht="30" x14ac:dyDescent="0.25">
      <c r="A7086" s="7" t="s">
        <v>2939</v>
      </c>
      <c r="B7086" s="8" t="s">
        <v>2940</v>
      </c>
      <c r="C7086" s="8" t="s">
        <v>1345</v>
      </c>
      <c r="D7086" s="8" t="str">
        <f>"9783737602075"</f>
        <v>9783737602075</v>
      </c>
    </row>
    <row r="7087" spans="1:4" x14ac:dyDescent="0.25">
      <c r="A7087" s="7" t="s">
        <v>13018</v>
      </c>
      <c r="B7087" s="8" t="s">
        <v>13019</v>
      </c>
      <c r="C7087" s="8" t="s">
        <v>12712</v>
      </c>
      <c r="D7087" s="8" t="str">
        <f>"9783428468614"</f>
        <v>9783428468614</v>
      </c>
    </row>
    <row r="7088" spans="1:4" ht="30" x14ac:dyDescent="0.25">
      <c r="A7088" s="7" t="s">
        <v>15126</v>
      </c>
      <c r="B7088" s="8" t="s">
        <v>2133</v>
      </c>
      <c r="C7088" s="8" t="s">
        <v>1865</v>
      </c>
      <c r="D7088" s="8" t="str">
        <f>"9789175196800"</f>
        <v>9789175196800</v>
      </c>
    </row>
    <row r="7089" spans="1:4" x14ac:dyDescent="0.25">
      <c r="A7089" s="7" t="s">
        <v>12968</v>
      </c>
      <c r="B7089" s="8" t="s">
        <v>12833</v>
      </c>
      <c r="C7089" s="8" t="s">
        <v>12712</v>
      </c>
      <c r="D7089" s="8" t="str">
        <f>"9783428459247"</f>
        <v>9783428459247</v>
      </c>
    </row>
    <row r="7090" spans="1:4" ht="30" x14ac:dyDescent="0.25">
      <c r="A7090" s="7" t="s">
        <v>12756</v>
      </c>
      <c r="B7090" s="8" t="s">
        <v>12757</v>
      </c>
      <c r="C7090" s="8" t="s">
        <v>12712</v>
      </c>
      <c r="D7090" s="8" t="str">
        <f>"9783428415076"</f>
        <v>9783428415076</v>
      </c>
    </row>
    <row r="7091" spans="1:4" ht="30" x14ac:dyDescent="0.25">
      <c r="A7091" s="7" t="s">
        <v>12760</v>
      </c>
      <c r="B7091" s="8" t="s">
        <v>12757</v>
      </c>
      <c r="C7091" s="8" t="s">
        <v>12712</v>
      </c>
      <c r="D7091" s="8" t="str">
        <f>"9783428415083"</f>
        <v>9783428415083</v>
      </c>
    </row>
    <row r="7092" spans="1:4" ht="30" x14ac:dyDescent="0.25">
      <c r="A7092" s="7" t="s">
        <v>7792</v>
      </c>
      <c r="B7092" s="8" t="s">
        <v>7793</v>
      </c>
      <c r="C7092" s="8" t="s">
        <v>2273</v>
      </c>
      <c r="D7092" s="8" t="str">
        <f>"9783030751500"</f>
        <v>9783030751500</v>
      </c>
    </row>
    <row r="7093" spans="1:4" x14ac:dyDescent="0.25">
      <c r="A7093" s="7" t="s">
        <v>9427</v>
      </c>
      <c r="B7093" s="8" t="s">
        <v>9428</v>
      </c>
      <c r="C7093" s="8" t="s">
        <v>9256</v>
      </c>
      <c r="D7093" s="8" t="str">
        <f>"9788021098701"</f>
        <v>9788021098701</v>
      </c>
    </row>
    <row r="7094" spans="1:4" x14ac:dyDescent="0.25">
      <c r="A7094" s="7" t="s">
        <v>4461</v>
      </c>
      <c r="B7094" s="8" t="s">
        <v>4462</v>
      </c>
      <c r="C7094" s="8" t="s">
        <v>1865</v>
      </c>
      <c r="D7094" s="8" t="str">
        <f>"9789176850787"</f>
        <v>9789176850787</v>
      </c>
    </row>
    <row r="7095" spans="1:4" ht="30" x14ac:dyDescent="0.25">
      <c r="A7095" s="7" t="s">
        <v>8154</v>
      </c>
      <c r="B7095" s="8" t="s">
        <v>8155</v>
      </c>
      <c r="C7095" s="8" t="s">
        <v>993</v>
      </c>
      <c r="D7095" s="8" t="str">
        <f>"9783839453711"</f>
        <v>9783839453711</v>
      </c>
    </row>
    <row r="7096" spans="1:4" ht="30" x14ac:dyDescent="0.25">
      <c r="A7096" s="7" t="s">
        <v>1515</v>
      </c>
      <c r="B7096" s="8" t="s">
        <v>1516</v>
      </c>
      <c r="C7096" s="8" t="s">
        <v>1345</v>
      </c>
      <c r="D7096" s="8" t="str">
        <f>"9783862192502"</f>
        <v>9783862192502</v>
      </c>
    </row>
    <row r="7097" spans="1:4" x14ac:dyDescent="0.25">
      <c r="A7097" s="7" t="s">
        <v>2537</v>
      </c>
      <c r="B7097" s="8" t="s">
        <v>2538</v>
      </c>
      <c r="C7097" s="8" t="s">
        <v>1865</v>
      </c>
      <c r="D7097" s="8" t="str">
        <f>"9789176858745"</f>
        <v>9789176858745</v>
      </c>
    </row>
    <row r="7098" spans="1:4" x14ac:dyDescent="0.25">
      <c r="A7098" s="7" t="s">
        <v>14179</v>
      </c>
      <c r="B7098" s="8" t="s">
        <v>216</v>
      </c>
      <c r="C7098" s="8" t="s">
        <v>9256</v>
      </c>
      <c r="D7098" s="8" t="str">
        <f>"9788021096837"</f>
        <v>9788021096837</v>
      </c>
    </row>
    <row r="7099" spans="1:4" x14ac:dyDescent="0.25">
      <c r="A7099" s="7" t="s">
        <v>14201</v>
      </c>
      <c r="B7099" s="8" t="s">
        <v>212</v>
      </c>
      <c r="C7099" s="8" t="s">
        <v>9256</v>
      </c>
      <c r="D7099" s="8" t="str">
        <f>"9788028000615"</f>
        <v>9788028000615</v>
      </c>
    </row>
    <row r="7100" spans="1:4" x14ac:dyDescent="0.25">
      <c r="A7100" s="7" t="s">
        <v>12835</v>
      </c>
      <c r="B7100" s="8" t="s">
        <v>12836</v>
      </c>
      <c r="C7100" s="8" t="s">
        <v>12712</v>
      </c>
      <c r="D7100" s="8" t="str">
        <f>"9783428433476"</f>
        <v>9783428433476</v>
      </c>
    </row>
    <row r="7101" spans="1:4" x14ac:dyDescent="0.25">
      <c r="A7101" s="7" t="s">
        <v>13464</v>
      </c>
      <c r="B7101" s="8" t="s">
        <v>12820</v>
      </c>
      <c r="C7101" s="8" t="s">
        <v>12712</v>
      </c>
      <c r="D7101" s="8" t="str">
        <f>"9783428435234"</f>
        <v>9783428435234</v>
      </c>
    </row>
    <row r="7102" spans="1:4" x14ac:dyDescent="0.25">
      <c r="A7102" s="7" t="s">
        <v>12808</v>
      </c>
      <c r="B7102" s="8" t="s">
        <v>12776</v>
      </c>
      <c r="C7102" s="8" t="s">
        <v>12712</v>
      </c>
      <c r="D7102" s="8" t="str">
        <f>"9783428426294"</f>
        <v>9783428426294</v>
      </c>
    </row>
    <row r="7103" spans="1:4" x14ac:dyDescent="0.25">
      <c r="A7103" s="7" t="s">
        <v>5534</v>
      </c>
      <c r="B7103" s="8" t="s">
        <v>5535</v>
      </c>
      <c r="C7103" s="8" t="s">
        <v>5086</v>
      </c>
      <c r="D7103" s="8" t="str">
        <f>"9783658320485"</f>
        <v>9783658320485</v>
      </c>
    </row>
    <row r="7104" spans="1:4" x14ac:dyDescent="0.25">
      <c r="A7104" s="7" t="s">
        <v>4733</v>
      </c>
      <c r="B7104" s="8" t="s">
        <v>4734</v>
      </c>
      <c r="C7104" s="8" t="s">
        <v>1865</v>
      </c>
      <c r="D7104" s="8" t="str">
        <f>"9789179299798"</f>
        <v>9789179299798</v>
      </c>
    </row>
    <row r="7105" spans="1:4" x14ac:dyDescent="0.25">
      <c r="A7105" s="7" t="s">
        <v>4990</v>
      </c>
      <c r="B7105" s="8" t="s">
        <v>4991</v>
      </c>
      <c r="C7105" s="8" t="s">
        <v>1879</v>
      </c>
      <c r="D7105" s="8" t="str">
        <f>"9781783746828"</f>
        <v>9781783746828</v>
      </c>
    </row>
    <row r="7106" spans="1:4" x14ac:dyDescent="0.25">
      <c r="A7106" s="7" t="s">
        <v>5054</v>
      </c>
      <c r="B7106" s="8" t="s">
        <v>225</v>
      </c>
      <c r="C7106" s="8" t="s">
        <v>1879</v>
      </c>
      <c r="D7106" s="8" t="str">
        <f>"9781783749379"</f>
        <v>9781783749379</v>
      </c>
    </row>
    <row r="7107" spans="1:4" x14ac:dyDescent="0.25">
      <c r="A7107" s="7" t="s">
        <v>8193</v>
      </c>
      <c r="B7107" s="8" t="s">
        <v>8194</v>
      </c>
      <c r="C7107" s="8" t="s">
        <v>993</v>
      </c>
      <c r="D7107" s="8" t="str">
        <f>"9783839457368"</f>
        <v>9783839457368</v>
      </c>
    </row>
    <row r="7108" spans="1:4" x14ac:dyDescent="0.25">
      <c r="A7108" s="7" t="s">
        <v>6452</v>
      </c>
      <c r="B7108" s="8" t="s">
        <v>4861</v>
      </c>
      <c r="C7108" s="8" t="s">
        <v>1879</v>
      </c>
      <c r="D7108" s="8" t="str">
        <f>"9781783749492"</f>
        <v>9781783749492</v>
      </c>
    </row>
    <row r="7109" spans="1:4" x14ac:dyDescent="0.25">
      <c r="A7109" s="7" t="s">
        <v>14406</v>
      </c>
      <c r="B7109" s="8" t="s">
        <v>14407</v>
      </c>
      <c r="C7109" s="8" t="s">
        <v>1879</v>
      </c>
      <c r="D7109" s="8" t="str">
        <f>"9781800649217"</f>
        <v>9781800649217</v>
      </c>
    </row>
    <row r="7110" spans="1:4" x14ac:dyDescent="0.25">
      <c r="A7110" s="7" t="s">
        <v>4127</v>
      </c>
      <c r="B7110" s="8" t="s">
        <v>4128</v>
      </c>
      <c r="C7110" s="8" t="s">
        <v>1865</v>
      </c>
      <c r="D7110" s="8" t="str">
        <f>"9789176852569"</f>
        <v>9789176852569</v>
      </c>
    </row>
    <row r="7111" spans="1:4" x14ac:dyDescent="0.25">
      <c r="A7111" s="7" t="s">
        <v>14450</v>
      </c>
      <c r="B7111" s="8" t="s">
        <v>14451</v>
      </c>
      <c r="C7111" s="8" t="s">
        <v>1865</v>
      </c>
      <c r="D7111" s="8" t="str">
        <f>"9789179293727"</f>
        <v>9789179293727</v>
      </c>
    </row>
    <row r="7112" spans="1:4" x14ac:dyDescent="0.25">
      <c r="A7112" s="7" t="s">
        <v>3976</v>
      </c>
      <c r="B7112" s="8" t="s">
        <v>3977</v>
      </c>
      <c r="C7112" s="8" t="s">
        <v>355</v>
      </c>
      <c r="D7112" s="8" t="str">
        <f>"9783110575446"</f>
        <v>9783110575446</v>
      </c>
    </row>
    <row r="7113" spans="1:4" x14ac:dyDescent="0.25">
      <c r="A7113" s="7" t="s">
        <v>2848</v>
      </c>
      <c r="B7113" s="8" t="s">
        <v>2849</v>
      </c>
      <c r="C7113" s="8" t="s">
        <v>1865</v>
      </c>
      <c r="D7113" s="8" t="str">
        <f>"9789176856635"</f>
        <v>9789176856635</v>
      </c>
    </row>
    <row r="7114" spans="1:4" x14ac:dyDescent="0.25">
      <c r="A7114" s="7" t="s">
        <v>4544</v>
      </c>
      <c r="B7114" s="8" t="s">
        <v>4545</v>
      </c>
      <c r="C7114" s="8" t="s">
        <v>1865</v>
      </c>
      <c r="D7114" s="8" t="str">
        <f>"9789176850428"</f>
        <v>9789176850428</v>
      </c>
    </row>
    <row r="7115" spans="1:4" x14ac:dyDescent="0.25">
      <c r="A7115" s="7" t="s">
        <v>4672</v>
      </c>
      <c r="B7115" s="8" t="s">
        <v>4673</v>
      </c>
      <c r="C7115" s="8" t="s">
        <v>1865</v>
      </c>
      <c r="D7115" s="8" t="str">
        <f>"9789176850305"</f>
        <v>9789176850305</v>
      </c>
    </row>
    <row r="7116" spans="1:4" x14ac:dyDescent="0.25">
      <c r="A7116" s="7" t="s">
        <v>4205</v>
      </c>
      <c r="B7116" s="8" t="s">
        <v>4206</v>
      </c>
      <c r="C7116" s="8" t="s">
        <v>1865</v>
      </c>
      <c r="D7116" s="8" t="str">
        <f>"9789176852095"</f>
        <v>9789176852095</v>
      </c>
    </row>
    <row r="7117" spans="1:4" x14ac:dyDescent="0.25">
      <c r="A7117" s="7" t="s">
        <v>16192</v>
      </c>
      <c r="B7117" s="8" t="s">
        <v>16193</v>
      </c>
      <c r="C7117" s="8" t="s">
        <v>1865</v>
      </c>
      <c r="D7117" s="8" t="str">
        <f>"9789175198101"</f>
        <v>9789175198101</v>
      </c>
    </row>
    <row r="7118" spans="1:4" x14ac:dyDescent="0.25">
      <c r="A7118" s="7" t="s">
        <v>14414</v>
      </c>
      <c r="B7118" s="8" t="s">
        <v>14415</v>
      </c>
      <c r="C7118" s="8" t="s">
        <v>1865</v>
      </c>
      <c r="D7118" s="8" t="str">
        <f>"9789179293734"</f>
        <v>9789179293734</v>
      </c>
    </row>
    <row r="7119" spans="1:4" ht="30" x14ac:dyDescent="0.25">
      <c r="A7119" s="7" t="s">
        <v>1703</v>
      </c>
      <c r="B7119" s="8" t="s">
        <v>1704</v>
      </c>
      <c r="C7119" s="8" t="s">
        <v>1345</v>
      </c>
      <c r="D7119" s="8" t="str">
        <f>"9783862193752"</f>
        <v>9783862193752</v>
      </c>
    </row>
    <row r="7120" spans="1:4" ht="30" x14ac:dyDescent="0.25">
      <c r="A7120" s="7" t="s">
        <v>9441</v>
      </c>
      <c r="B7120" s="8" t="s">
        <v>143</v>
      </c>
      <c r="C7120" s="8" t="s">
        <v>9256</v>
      </c>
      <c r="D7120" s="8" t="str">
        <f>"9788021099142"</f>
        <v>9788021099142</v>
      </c>
    </row>
    <row r="7121" spans="1:4" ht="30" x14ac:dyDescent="0.25">
      <c r="A7121" s="7" t="s">
        <v>15327</v>
      </c>
      <c r="B7121" s="8" t="s">
        <v>15328</v>
      </c>
      <c r="C7121" s="8" t="s">
        <v>1865</v>
      </c>
      <c r="D7121" s="8" t="str">
        <f>"9789179295127"</f>
        <v>9789179295127</v>
      </c>
    </row>
    <row r="7122" spans="1:4" x14ac:dyDescent="0.25">
      <c r="A7122" s="7" t="s">
        <v>2838</v>
      </c>
      <c r="B7122" s="8" t="s">
        <v>2839</v>
      </c>
      <c r="C7122" s="8" t="s">
        <v>1865</v>
      </c>
      <c r="D7122" s="8" t="str">
        <f>"9789176856925"</f>
        <v>9789176856925</v>
      </c>
    </row>
    <row r="7123" spans="1:4" x14ac:dyDescent="0.25">
      <c r="A7123" s="7" t="s">
        <v>15716</v>
      </c>
      <c r="B7123" s="8" t="s">
        <v>4360</v>
      </c>
      <c r="C7123" s="8" t="s">
        <v>1865</v>
      </c>
      <c r="D7123" s="8" t="str">
        <f>"9789176854334"</f>
        <v>9789176854334</v>
      </c>
    </row>
    <row r="7124" spans="1:4" x14ac:dyDescent="0.25">
      <c r="A7124" s="7" t="s">
        <v>15550</v>
      </c>
      <c r="B7124" s="8" t="s">
        <v>15551</v>
      </c>
      <c r="C7124" s="8" t="s">
        <v>1865</v>
      </c>
      <c r="D7124" s="8" t="str">
        <f>"9789175198996"</f>
        <v>9789175198996</v>
      </c>
    </row>
    <row r="7125" spans="1:4" x14ac:dyDescent="0.25">
      <c r="A7125" s="7" t="s">
        <v>7210</v>
      </c>
      <c r="B7125" s="8" t="s">
        <v>7211</v>
      </c>
      <c r="C7125" s="8" t="s">
        <v>329</v>
      </c>
      <c r="D7125" s="8" t="str">
        <f>"9789048542086"</f>
        <v>9789048542086</v>
      </c>
    </row>
    <row r="7126" spans="1:4" x14ac:dyDescent="0.25">
      <c r="A7126" s="7" t="s">
        <v>8632</v>
      </c>
      <c r="B7126" s="8" t="s">
        <v>8633</v>
      </c>
      <c r="C7126" s="8" t="s">
        <v>1865</v>
      </c>
      <c r="D7126" s="8" t="str">
        <f>"9789179290436"</f>
        <v>9789179290436</v>
      </c>
    </row>
    <row r="7127" spans="1:4" x14ac:dyDescent="0.25">
      <c r="A7127" s="7" t="s">
        <v>3618</v>
      </c>
      <c r="B7127" s="8" t="s">
        <v>3619</v>
      </c>
      <c r="C7127" s="8" t="s">
        <v>1865</v>
      </c>
      <c r="D7127" s="8" t="str">
        <f>"9789176853481"</f>
        <v>9789176853481</v>
      </c>
    </row>
    <row r="7128" spans="1:4" ht="30" x14ac:dyDescent="0.25">
      <c r="A7128" s="7" t="s">
        <v>4738</v>
      </c>
      <c r="B7128" s="8" t="s">
        <v>4739</v>
      </c>
      <c r="C7128" s="8" t="s">
        <v>1865</v>
      </c>
      <c r="D7128" s="8" t="str">
        <f>"9789175190082"</f>
        <v>9789175190082</v>
      </c>
    </row>
    <row r="7129" spans="1:4" x14ac:dyDescent="0.25">
      <c r="A7129" s="7" t="s">
        <v>2196</v>
      </c>
      <c r="B7129" s="8" t="s">
        <v>2197</v>
      </c>
      <c r="C7129" s="8" t="s">
        <v>2082</v>
      </c>
      <c r="D7129" s="8" t="str">
        <f>"9780472120857"</f>
        <v>9780472120857</v>
      </c>
    </row>
    <row r="7130" spans="1:4" ht="30" x14ac:dyDescent="0.25">
      <c r="A7130" s="7" t="s">
        <v>8226</v>
      </c>
      <c r="B7130" s="8" t="s">
        <v>8227</v>
      </c>
      <c r="C7130" s="8" t="s">
        <v>993</v>
      </c>
      <c r="D7130" s="8" t="str">
        <f>"9783839451588"</f>
        <v>9783839451588</v>
      </c>
    </row>
    <row r="7131" spans="1:4" ht="30" x14ac:dyDescent="0.25">
      <c r="A7131" s="7" t="s">
        <v>16070</v>
      </c>
      <c r="B7131" s="8" t="s">
        <v>16071</v>
      </c>
      <c r="C7131" s="8" t="s">
        <v>1865</v>
      </c>
      <c r="D7131" s="8" t="str">
        <f>"9789175197784"</f>
        <v>9789175197784</v>
      </c>
    </row>
    <row r="7132" spans="1:4" x14ac:dyDescent="0.25">
      <c r="A7132" s="7" t="s">
        <v>11457</v>
      </c>
      <c r="B7132" s="8" t="s">
        <v>11458</v>
      </c>
      <c r="C7132" s="8" t="s">
        <v>355</v>
      </c>
      <c r="D7132" s="8" t="str">
        <f>"9783110709889"</f>
        <v>9783110709889</v>
      </c>
    </row>
    <row r="7133" spans="1:4" ht="30" x14ac:dyDescent="0.25">
      <c r="A7133" s="7" t="s">
        <v>9412</v>
      </c>
      <c r="B7133" s="8" t="s">
        <v>9413</v>
      </c>
      <c r="C7133" s="8" t="s">
        <v>9256</v>
      </c>
      <c r="D7133" s="8" t="str">
        <f>"9788021098107"</f>
        <v>9788021098107</v>
      </c>
    </row>
    <row r="7134" spans="1:4" ht="30" x14ac:dyDescent="0.25">
      <c r="A7134" s="7" t="s">
        <v>9115</v>
      </c>
      <c r="B7134" s="8" t="s">
        <v>9116</v>
      </c>
      <c r="C7134" s="8" t="s">
        <v>5086</v>
      </c>
      <c r="D7134" s="8" t="str">
        <f>"9783658364809"</f>
        <v>9783658364809</v>
      </c>
    </row>
    <row r="7135" spans="1:4" x14ac:dyDescent="0.25">
      <c r="A7135" s="7" t="s">
        <v>16232</v>
      </c>
      <c r="B7135" s="8" t="s">
        <v>16233</v>
      </c>
      <c r="C7135" s="8" t="s">
        <v>1865</v>
      </c>
      <c r="D7135" s="8" t="str">
        <f>"9789175199351"</f>
        <v>9789175199351</v>
      </c>
    </row>
    <row r="7136" spans="1:4" x14ac:dyDescent="0.25">
      <c r="A7136" s="7" t="s">
        <v>8569</v>
      </c>
      <c r="B7136" s="8" t="s">
        <v>8570</v>
      </c>
      <c r="C7136" s="8" t="s">
        <v>4245</v>
      </c>
      <c r="D7136" s="8" t="str">
        <f>"9789811640957"</f>
        <v>9789811640957</v>
      </c>
    </row>
    <row r="7137" spans="1:4" x14ac:dyDescent="0.25">
      <c r="A7137" s="7" t="s">
        <v>5672</v>
      </c>
      <c r="B7137" s="8" t="s">
        <v>5673</v>
      </c>
      <c r="C7137" s="8" t="s">
        <v>5107</v>
      </c>
      <c r="D7137" s="8" t="str">
        <f>"9784431548652"</f>
        <v>9784431548652</v>
      </c>
    </row>
    <row r="7138" spans="1:4" x14ac:dyDescent="0.25">
      <c r="A7138" s="7" t="s">
        <v>664</v>
      </c>
      <c r="B7138" s="8" t="s">
        <v>665</v>
      </c>
      <c r="C7138" s="8" t="s">
        <v>316</v>
      </c>
      <c r="D7138" s="8" t="str">
        <f>"9783110328974"</f>
        <v>9783110328974</v>
      </c>
    </row>
    <row r="7139" spans="1:4" x14ac:dyDescent="0.25">
      <c r="A7139" s="7" t="s">
        <v>3810</v>
      </c>
      <c r="B7139" s="8" t="s">
        <v>3811</v>
      </c>
      <c r="C7139" s="8" t="s">
        <v>1865</v>
      </c>
      <c r="D7139" s="8" t="str">
        <f>"9789176852293"</f>
        <v>9789176852293</v>
      </c>
    </row>
    <row r="7140" spans="1:4" x14ac:dyDescent="0.25">
      <c r="A7140" s="7" t="s">
        <v>3812</v>
      </c>
      <c r="B7140" s="8" t="s">
        <v>3811</v>
      </c>
      <c r="C7140" s="8" t="s">
        <v>1865</v>
      </c>
      <c r="D7140" s="8" t="str">
        <f>"9789176852538"</f>
        <v>9789176852538</v>
      </c>
    </row>
    <row r="7141" spans="1:4" ht="30" x14ac:dyDescent="0.25">
      <c r="A7141" s="7" t="s">
        <v>11455</v>
      </c>
      <c r="B7141" s="8" t="s">
        <v>11456</v>
      </c>
      <c r="C7141" s="8" t="s">
        <v>355</v>
      </c>
      <c r="D7141" s="8" t="str">
        <f>"9788395720451"</f>
        <v>9788395720451</v>
      </c>
    </row>
    <row r="7142" spans="1:4" x14ac:dyDescent="0.25">
      <c r="A7142" s="7" t="s">
        <v>7941</v>
      </c>
      <c r="B7142" s="8" t="s">
        <v>2965</v>
      </c>
      <c r="C7142" s="8" t="s">
        <v>1962</v>
      </c>
      <c r="D7142" s="8" t="str">
        <f>"9782759231867"</f>
        <v>9782759231867</v>
      </c>
    </row>
    <row r="7143" spans="1:4" x14ac:dyDescent="0.25">
      <c r="A7143" s="7" t="s">
        <v>2232</v>
      </c>
      <c r="B7143" s="8" t="s">
        <v>2233</v>
      </c>
      <c r="C7143" s="8" t="s">
        <v>355</v>
      </c>
      <c r="D7143" s="8" t="str">
        <f>"9783486835427"</f>
        <v>9783486835427</v>
      </c>
    </row>
    <row r="7144" spans="1:4" ht="30" x14ac:dyDescent="0.25">
      <c r="A7144" s="7" t="s">
        <v>11358</v>
      </c>
      <c r="B7144" s="8" t="s">
        <v>11359</v>
      </c>
      <c r="C7144" s="8" t="s">
        <v>355</v>
      </c>
      <c r="D7144" s="8" t="str">
        <f>"9783110749984"</f>
        <v>9783110749984</v>
      </c>
    </row>
    <row r="7145" spans="1:4" x14ac:dyDescent="0.25">
      <c r="A7145" s="7" t="s">
        <v>11124</v>
      </c>
      <c r="B7145" s="8" t="s">
        <v>11125</v>
      </c>
      <c r="C7145" s="8" t="s">
        <v>6716</v>
      </c>
      <c r="D7145" s="8" t="str">
        <f>"9780472901906"</f>
        <v>9780472901906</v>
      </c>
    </row>
    <row r="7146" spans="1:4" x14ac:dyDescent="0.25">
      <c r="A7146" s="7" t="s">
        <v>14842</v>
      </c>
      <c r="B7146" s="8" t="s">
        <v>14843</v>
      </c>
      <c r="C7146" s="8" t="s">
        <v>1865</v>
      </c>
      <c r="D7146" s="8" t="str">
        <f>"9789179295929"</f>
        <v>9789179295929</v>
      </c>
    </row>
    <row r="7147" spans="1:4" ht="30" x14ac:dyDescent="0.25">
      <c r="A7147" s="7" t="s">
        <v>10917</v>
      </c>
      <c r="B7147" s="8" t="s">
        <v>10918</v>
      </c>
      <c r="C7147" s="8" t="s">
        <v>355</v>
      </c>
      <c r="D7147" s="8" t="str">
        <f>"9783110516319"</f>
        <v>9783110516319</v>
      </c>
    </row>
    <row r="7148" spans="1:4" x14ac:dyDescent="0.25">
      <c r="A7148" s="7" t="s">
        <v>8785</v>
      </c>
      <c r="B7148" s="8" t="s">
        <v>8786</v>
      </c>
      <c r="C7148" s="8" t="s">
        <v>1865</v>
      </c>
      <c r="D7148" s="8" t="str">
        <f>"9789179291211"</f>
        <v>9789179291211</v>
      </c>
    </row>
    <row r="7149" spans="1:4" ht="30" x14ac:dyDescent="0.25">
      <c r="A7149" s="7" t="s">
        <v>12371</v>
      </c>
      <c r="B7149" s="8" t="s">
        <v>12372</v>
      </c>
      <c r="C7149" s="8" t="s">
        <v>2273</v>
      </c>
      <c r="D7149" s="8" t="str">
        <f>"9783031104190"</f>
        <v>9783031104190</v>
      </c>
    </row>
    <row r="7150" spans="1:4" x14ac:dyDescent="0.25">
      <c r="A7150" s="7" t="s">
        <v>3826</v>
      </c>
      <c r="B7150" s="8" t="s">
        <v>3827</v>
      </c>
      <c r="C7150" s="8" t="s">
        <v>355</v>
      </c>
      <c r="D7150" s="8" t="str">
        <f>"9783110456806"</f>
        <v>9783110456806</v>
      </c>
    </row>
    <row r="7151" spans="1:4" ht="30" x14ac:dyDescent="0.25">
      <c r="A7151" s="7" t="s">
        <v>15012</v>
      </c>
      <c r="B7151" s="8" t="s">
        <v>15013</v>
      </c>
      <c r="C7151" s="8" t="s">
        <v>1865</v>
      </c>
      <c r="D7151" s="8" t="str">
        <f>"9789176859438"</f>
        <v>9789176859438</v>
      </c>
    </row>
    <row r="7152" spans="1:4" ht="30" x14ac:dyDescent="0.25">
      <c r="A7152" s="7" t="s">
        <v>14796</v>
      </c>
      <c r="B7152" s="8" t="s">
        <v>14797</v>
      </c>
      <c r="C7152" s="8" t="s">
        <v>1865</v>
      </c>
      <c r="D7152" s="8" t="str">
        <f>"9789175193588"</f>
        <v>9789175193588</v>
      </c>
    </row>
    <row r="7153" spans="1:4" ht="30" x14ac:dyDescent="0.25">
      <c r="A7153" s="7" t="s">
        <v>4557</v>
      </c>
      <c r="B7153" s="8" t="s">
        <v>4558</v>
      </c>
      <c r="C7153" s="8" t="s">
        <v>1865</v>
      </c>
      <c r="D7153" s="8" t="str">
        <f>"9789176850206"</f>
        <v>9789176850206</v>
      </c>
    </row>
    <row r="7154" spans="1:4" x14ac:dyDescent="0.25">
      <c r="A7154" s="7" t="s">
        <v>15548</v>
      </c>
      <c r="B7154" s="8" t="s">
        <v>15549</v>
      </c>
      <c r="C7154" s="8" t="s">
        <v>1865</v>
      </c>
      <c r="D7154" s="8" t="str">
        <f>"9789175198668"</f>
        <v>9789175198668</v>
      </c>
    </row>
    <row r="7155" spans="1:4" ht="30" x14ac:dyDescent="0.25">
      <c r="A7155" s="7" t="s">
        <v>5518</v>
      </c>
      <c r="B7155" s="8" t="s">
        <v>5519</v>
      </c>
      <c r="C7155" s="8" t="s">
        <v>1865</v>
      </c>
      <c r="D7155" s="8" t="str">
        <f>"9789179297770"</f>
        <v>9789179297770</v>
      </c>
    </row>
    <row r="7156" spans="1:4" ht="30" x14ac:dyDescent="0.25">
      <c r="A7156" s="7" t="s">
        <v>2535</v>
      </c>
      <c r="B7156" s="8" t="s">
        <v>2536</v>
      </c>
      <c r="C7156" s="8" t="s">
        <v>1865</v>
      </c>
      <c r="D7156" s="8" t="str">
        <f>"9789176858721"</f>
        <v>9789176858721</v>
      </c>
    </row>
    <row r="7157" spans="1:4" x14ac:dyDescent="0.25">
      <c r="A7157" s="7" t="s">
        <v>4447</v>
      </c>
      <c r="B7157" s="8" t="s">
        <v>4448</v>
      </c>
      <c r="C7157" s="8" t="s">
        <v>1865</v>
      </c>
      <c r="D7157" s="8" t="str">
        <f>"9789176850831"</f>
        <v>9789176850831</v>
      </c>
    </row>
    <row r="7158" spans="1:4" x14ac:dyDescent="0.25">
      <c r="A7158" s="7" t="s">
        <v>4488</v>
      </c>
      <c r="B7158" s="8" t="s">
        <v>4489</v>
      </c>
      <c r="C7158" s="8" t="s">
        <v>1865</v>
      </c>
      <c r="D7158" s="8" t="str">
        <f>"9789176850855"</f>
        <v>9789176850855</v>
      </c>
    </row>
    <row r="7159" spans="1:4" x14ac:dyDescent="0.25">
      <c r="A7159" s="7" t="s">
        <v>3000</v>
      </c>
      <c r="B7159" s="8" t="s">
        <v>3001</v>
      </c>
      <c r="C7159" s="8" t="s">
        <v>1865</v>
      </c>
      <c r="D7159" s="8" t="str">
        <f>"9789176856000"</f>
        <v>9789176856000</v>
      </c>
    </row>
    <row r="7160" spans="1:4" x14ac:dyDescent="0.25">
      <c r="A7160" s="7" t="s">
        <v>15294</v>
      </c>
      <c r="B7160" s="8" t="s">
        <v>3001</v>
      </c>
      <c r="C7160" s="8" t="s">
        <v>1865</v>
      </c>
      <c r="D7160" s="8" t="str">
        <f>"9789175192499"</f>
        <v>9789175192499</v>
      </c>
    </row>
    <row r="7161" spans="1:4" x14ac:dyDescent="0.25">
      <c r="A7161" s="7" t="s">
        <v>14396</v>
      </c>
      <c r="B7161" s="8" t="s">
        <v>14397</v>
      </c>
      <c r="C7161" s="8" t="s">
        <v>1865</v>
      </c>
      <c r="D7161" s="8" t="str">
        <f>"9789179295035"</f>
        <v>9789179295035</v>
      </c>
    </row>
    <row r="7162" spans="1:4" x14ac:dyDescent="0.25">
      <c r="A7162" s="7" t="s">
        <v>6444</v>
      </c>
      <c r="B7162" s="8" t="s">
        <v>6445</v>
      </c>
      <c r="C7162" s="8" t="s">
        <v>1865</v>
      </c>
      <c r="D7162" s="8" t="str">
        <f>"9789179297336"</f>
        <v>9789179297336</v>
      </c>
    </row>
    <row r="7163" spans="1:4" ht="30" x14ac:dyDescent="0.25">
      <c r="A7163" s="7" t="s">
        <v>8671</v>
      </c>
      <c r="B7163" s="8" t="s">
        <v>8672</v>
      </c>
      <c r="C7163" s="8" t="s">
        <v>1865</v>
      </c>
      <c r="D7163" s="8" t="str">
        <f>"9789179290429"</f>
        <v>9789179290429</v>
      </c>
    </row>
    <row r="7164" spans="1:4" ht="30" x14ac:dyDescent="0.25">
      <c r="A7164" s="7" t="s">
        <v>15714</v>
      </c>
      <c r="B7164" s="8" t="s">
        <v>15715</v>
      </c>
      <c r="C7164" s="8" t="s">
        <v>1865</v>
      </c>
      <c r="D7164" s="8" t="str">
        <f>"9789175193915"</f>
        <v>9789175193915</v>
      </c>
    </row>
    <row r="7165" spans="1:4" x14ac:dyDescent="0.25">
      <c r="A7165" s="7" t="s">
        <v>4425</v>
      </c>
      <c r="B7165" s="8" t="s">
        <v>4426</v>
      </c>
      <c r="C7165" s="8" t="s">
        <v>1865</v>
      </c>
      <c r="D7165" s="8" t="str">
        <f>"9789176851272"</f>
        <v>9789176851272</v>
      </c>
    </row>
    <row r="7166" spans="1:4" x14ac:dyDescent="0.25">
      <c r="A7166" s="7" t="s">
        <v>9006</v>
      </c>
      <c r="B7166" s="8" t="s">
        <v>9007</v>
      </c>
      <c r="C7166" s="8" t="s">
        <v>2082</v>
      </c>
      <c r="D7166" s="8" t="str">
        <f>"9780472900732"</f>
        <v>9780472900732</v>
      </c>
    </row>
    <row r="7167" spans="1:4" ht="30" x14ac:dyDescent="0.25">
      <c r="A7167" s="7" t="s">
        <v>2047</v>
      </c>
      <c r="B7167" s="8" t="s">
        <v>2048</v>
      </c>
      <c r="C7167" s="8" t="s">
        <v>1962</v>
      </c>
      <c r="D7167" s="8" t="str">
        <f>"9782759215386"</f>
        <v>9782759215386</v>
      </c>
    </row>
    <row r="7168" spans="1:4" x14ac:dyDescent="0.25">
      <c r="A7168" s="7" t="s">
        <v>8691</v>
      </c>
      <c r="B7168" s="8" t="s">
        <v>8692</v>
      </c>
      <c r="C7168" s="8" t="s">
        <v>2273</v>
      </c>
      <c r="D7168" s="8" t="str">
        <f>"9783030857967"</f>
        <v>9783030857967</v>
      </c>
    </row>
    <row r="7169" spans="1:4" ht="30" x14ac:dyDescent="0.25">
      <c r="A7169" s="7" t="s">
        <v>5434</v>
      </c>
      <c r="B7169" s="8" t="s">
        <v>5435</v>
      </c>
      <c r="C7169" s="8" t="s">
        <v>1865</v>
      </c>
      <c r="D7169" s="8" t="str">
        <f>"9789179297763"</f>
        <v>9789179297763</v>
      </c>
    </row>
    <row r="7170" spans="1:4" ht="30" x14ac:dyDescent="0.25">
      <c r="A7170" s="7" t="s">
        <v>14983</v>
      </c>
      <c r="B7170" s="8" t="s">
        <v>14984</v>
      </c>
      <c r="C7170" s="8" t="s">
        <v>1865</v>
      </c>
      <c r="D7170" s="8" t="str">
        <f>"9789176857434"</f>
        <v>9789176857434</v>
      </c>
    </row>
    <row r="7171" spans="1:4" x14ac:dyDescent="0.25">
      <c r="A7171" s="7" t="s">
        <v>2416</v>
      </c>
      <c r="B7171" s="8" t="s">
        <v>2417</v>
      </c>
      <c r="C7171" s="8" t="s">
        <v>1865</v>
      </c>
      <c r="D7171" s="8" t="str">
        <f>"9789176859674"</f>
        <v>9789176859674</v>
      </c>
    </row>
    <row r="7172" spans="1:4" x14ac:dyDescent="0.25">
      <c r="A7172" s="7" t="s">
        <v>15421</v>
      </c>
      <c r="B7172" s="8" t="s">
        <v>15422</v>
      </c>
      <c r="C7172" s="8" t="s">
        <v>1865</v>
      </c>
      <c r="D7172" s="8" t="str">
        <f>"9789176857823"</f>
        <v>9789176857823</v>
      </c>
    </row>
    <row r="7173" spans="1:4" x14ac:dyDescent="0.25">
      <c r="A7173" s="7" t="s">
        <v>2315</v>
      </c>
      <c r="B7173" s="8" t="s">
        <v>2316</v>
      </c>
      <c r="C7173" s="8" t="s">
        <v>355</v>
      </c>
      <c r="D7173" s="8" t="str">
        <f>"9783110450507"</f>
        <v>9783110450507</v>
      </c>
    </row>
    <row r="7174" spans="1:4" ht="30" x14ac:dyDescent="0.25">
      <c r="A7174" s="7" t="s">
        <v>15643</v>
      </c>
      <c r="B7174" s="8" t="s">
        <v>15644</v>
      </c>
      <c r="C7174" s="8" t="s">
        <v>1865</v>
      </c>
      <c r="D7174" s="8" t="str">
        <f>"9789179295561"</f>
        <v>9789179295561</v>
      </c>
    </row>
    <row r="7175" spans="1:4" x14ac:dyDescent="0.25">
      <c r="A7175" s="7" t="s">
        <v>14578</v>
      </c>
      <c r="B7175" s="8" t="s">
        <v>14515</v>
      </c>
      <c r="C7175" s="8" t="s">
        <v>1865</v>
      </c>
      <c r="D7175" s="8" t="str">
        <f>"9789179298708"</f>
        <v>9789179298708</v>
      </c>
    </row>
    <row r="7176" spans="1:4" ht="30" x14ac:dyDescent="0.25">
      <c r="A7176" s="7" t="s">
        <v>5473</v>
      </c>
      <c r="B7176" s="8" t="s">
        <v>5474</v>
      </c>
      <c r="C7176" s="8" t="s">
        <v>5064</v>
      </c>
      <c r="D7176" s="8" t="str">
        <f>"9789814730914"</f>
        <v>9789814730914</v>
      </c>
    </row>
    <row r="7177" spans="1:4" ht="30" x14ac:dyDescent="0.25">
      <c r="A7177" s="7" t="s">
        <v>8795</v>
      </c>
      <c r="B7177" s="8" t="s">
        <v>8796</v>
      </c>
      <c r="C7177" s="8" t="s">
        <v>2273</v>
      </c>
      <c r="D7177" s="8" t="str">
        <f>"9783030894962"</f>
        <v>9783030894962</v>
      </c>
    </row>
    <row r="7178" spans="1:4" ht="30" x14ac:dyDescent="0.25">
      <c r="A7178" s="7" t="s">
        <v>13743</v>
      </c>
      <c r="B7178" s="8" t="s">
        <v>13681</v>
      </c>
      <c r="C7178" s="8" t="s">
        <v>2274</v>
      </c>
      <c r="D7178" s="8" t="str">
        <f>"9789811948596"</f>
        <v>9789811948596</v>
      </c>
    </row>
    <row r="7179" spans="1:4" ht="30" x14ac:dyDescent="0.25">
      <c r="A7179" s="7" t="s">
        <v>13680</v>
      </c>
      <c r="B7179" s="8" t="s">
        <v>13681</v>
      </c>
      <c r="C7179" s="8" t="s">
        <v>2274</v>
      </c>
      <c r="D7179" s="8" t="str">
        <f>"9789811951459"</f>
        <v>9789811951459</v>
      </c>
    </row>
    <row r="7180" spans="1:4" x14ac:dyDescent="0.25">
      <c r="A7180" s="7" t="s">
        <v>10685</v>
      </c>
      <c r="B7180" s="8" t="s">
        <v>10686</v>
      </c>
      <c r="C7180" s="8" t="s">
        <v>2273</v>
      </c>
      <c r="D7180" s="8" t="str">
        <f>"9783030684105"</f>
        <v>9783030684105</v>
      </c>
    </row>
    <row r="7181" spans="1:4" ht="30" x14ac:dyDescent="0.25">
      <c r="A7181" s="7" t="s">
        <v>12483</v>
      </c>
      <c r="B7181" s="8" t="s">
        <v>12484</v>
      </c>
      <c r="C7181" s="8" t="s">
        <v>1962</v>
      </c>
      <c r="D7181" s="8" t="str">
        <f>"9782759235766"</f>
        <v>9782759235766</v>
      </c>
    </row>
    <row r="7182" spans="1:4" ht="30" x14ac:dyDescent="0.25">
      <c r="A7182" s="7" t="s">
        <v>14142</v>
      </c>
      <c r="B7182" s="8" t="s">
        <v>14143</v>
      </c>
      <c r="C7182" s="8" t="s">
        <v>2273</v>
      </c>
      <c r="D7182" s="8" t="str">
        <f>"9783031157738"</f>
        <v>9783031157738</v>
      </c>
    </row>
    <row r="7183" spans="1:4" ht="30" x14ac:dyDescent="0.25">
      <c r="A7183" s="7" t="s">
        <v>3439</v>
      </c>
      <c r="B7183" s="8" t="s">
        <v>3440</v>
      </c>
      <c r="C7183" s="8" t="s">
        <v>1345</v>
      </c>
      <c r="D7183" s="8" t="str">
        <f>"9783737603812"</f>
        <v>9783737603812</v>
      </c>
    </row>
    <row r="7184" spans="1:4" x14ac:dyDescent="0.25">
      <c r="A7184" s="7" t="s">
        <v>5131</v>
      </c>
      <c r="B7184" s="8" t="s">
        <v>5132</v>
      </c>
      <c r="C7184" s="8" t="s">
        <v>2273</v>
      </c>
      <c r="D7184" s="8" t="str">
        <f>"9783030508418"</f>
        <v>9783030508418</v>
      </c>
    </row>
    <row r="7185" spans="1:4" ht="30" x14ac:dyDescent="0.25">
      <c r="A7185" s="7" t="s">
        <v>6163</v>
      </c>
      <c r="B7185" s="8" t="s">
        <v>6164</v>
      </c>
      <c r="C7185" s="8" t="s">
        <v>5134</v>
      </c>
      <c r="D7185" s="8" t="str">
        <f>"9783642333774"</f>
        <v>9783642333774</v>
      </c>
    </row>
    <row r="7186" spans="1:4" x14ac:dyDescent="0.25">
      <c r="A7186" s="7" t="s">
        <v>5861</v>
      </c>
      <c r="B7186" s="8" t="s">
        <v>5862</v>
      </c>
      <c r="C7186" s="8" t="s">
        <v>5107</v>
      </c>
      <c r="D7186" s="8" t="str">
        <f>"9784431548041"</f>
        <v>9784431548041</v>
      </c>
    </row>
    <row r="7187" spans="1:4" x14ac:dyDescent="0.25">
      <c r="A7187" s="7" t="s">
        <v>8710</v>
      </c>
      <c r="B7187" s="8" t="s">
        <v>8711</v>
      </c>
      <c r="C7187" s="8" t="s">
        <v>2273</v>
      </c>
      <c r="D7187" s="8" t="str">
        <f>"9783030737153"</f>
        <v>9783030737153</v>
      </c>
    </row>
    <row r="7188" spans="1:4" x14ac:dyDescent="0.25">
      <c r="A7188" s="7" t="s">
        <v>13637</v>
      </c>
      <c r="B7188" s="8" t="s">
        <v>13638</v>
      </c>
      <c r="C7188" s="8" t="s">
        <v>2274</v>
      </c>
      <c r="D7188" s="8" t="str">
        <f>"9789811973987"</f>
        <v>9789811973987</v>
      </c>
    </row>
    <row r="7189" spans="1:4" ht="45" x14ac:dyDescent="0.25">
      <c r="A7189" s="7" t="s">
        <v>15277</v>
      </c>
      <c r="B7189" s="8" t="s">
        <v>15278</v>
      </c>
      <c r="C7189" s="8" t="s">
        <v>1865</v>
      </c>
      <c r="D7189" s="8" t="str">
        <f>"9789179295837"</f>
        <v>9789179295837</v>
      </c>
    </row>
    <row r="7190" spans="1:4" x14ac:dyDescent="0.25">
      <c r="A7190" s="7" t="s">
        <v>3698</v>
      </c>
      <c r="B7190" s="8" t="s">
        <v>3699</v>
      </c>
      <c r="C7190" s="8" t="s">
        <v>1345</v>
      </c>
      <c r="D7190" s="8" t="str">
        <f>"9783737605014"</f>
        <v>9783737605014</v>
      </c>
    </row>
    <row r="7191" spans="1:4" x14ac:dyDescent="0.25">
      <c r="A7191" s="7" t="s">
        <v>15862</v>
      </c>
      <c r="B7191" s="8" t="s">
        <v>15863</v>
      </c>
      <c r="C7191" s="8" t="s">
        <v>1865</v>
      </c>
      <c r="D7191" s="8" t="str">
        <f>"9789185831265"</f>
        <v>9789185831265</v>
      </c>
    </row>
    <row r="7192" spans="1:4" ht="30" x14ac:dyDescent="0.25">
      <c r="A7192" s="7" t="s">
        <v>15130</v>
      </c>
      <c r="B7192" s="8" t="s">
        <v>4223</v>
      </c>
      <c r="C7192" s="8" t="s">
        <v>1865</v>
      </c>
      <c r="D7192" s="8" t="str">
        <f>"9789176857885"</f>
        <v>9789176857885</v>
      </c>
    </row>
    <row r="7193" spans="1:4" x14ac:dyDescent="0.25">
      <c r="A7193" s="7" t="s">
        <v>14229</v>
      </c>
      <c r="B7193" s="8" t="s">
        <v>135</v>
      </c>
      <c r="C7193" s="8" t="s">
        <v>9256</v>
      </c>
      <c r="D7193" s="8" t="str">
        <f>"9788028002077"</f>
        <v>9788028002077</v>
      </c>
    </row>
    <row r="7194" spans="1:4" x14ac:dyDescent="0.25">
      <c r="A7194" s="7" t="s">
        <v>11071</v>
      </c>
      <c r="B7194" s="8" t="s">
        <v>11072</v>
      </c>
      <c r="C7194" s="8" t="s">
        <v>6707</v>
      </c>
      <c r="D7194" s="8" t="str">
        <f>"9780472901753"</f>
        <v>9780472901753</v>
      </c>
    </row>
    <row r="7195" spans="1:4" x14ac:dyDescent="0.25">
      <c r="A7195" s="7" t="s">
        <v>420</v>
      </c>
      <c r="B7195" s="8" t="s">
        <v>421</v>
      </c>
      <c r="C7195" s="8" t="s">
        <v>227</v>
      </c>
      <c r="D7195" s="8" t="str">
        <f>"9781847790941"</f>
        <v>9781847790941</v>
      </c>
    </row>
    <row r="7196" spans="1:4" ht="30" x14ac:dyDescent="0.25">
      <c r="A7196" s="7" t="s">
        <v>15531</v>
      </c>
      <c r="B7196" s="8" t="s">
        <v>4485</v>
      </c>
      <c r="C7196" s="8" t="s">
        <v>1865</v>
      </c>
      <c r="D7196" s="8" t="str">
        <f>"9789175190440"</f>
        <v>9789175190440</v>
      </c>
    </row>
    <row r="7197" spans="1:4" x14ac:dyDescent="0.25">
      <c r="A7197" s="7" t="s">
        <v>6424</v>
      </c>
      <c r="B7197" s="8" t="s">
        <v>6425</v>
      </c>
      <c r="C7197" s="8" t="s">
        <v>2273</v>
      </c>
      <c r="D7197" s="8" t="str">
        <f>"9783030632663"</f>
        <v>9783030632663</v>
      </c>
    </row>
    <row r="7198" spans="1:4" ht="30" x14ac:dyDescent="0.25">
      <c r="A7198" s="7" t="s">
        <v>8756</v>
      </c>
      <c r="B7198" s="8" t="s">
        <v>8757</v>
      </c>
      <c r="C7198" s="8" t="s">
        <v>2273</v>
      </c>
      <c r="D7198" s="8" t="str">
        <f>"9783030807870"</f>
        <v>9783030807870</v>
      </c>
    </row>
    <row r="7199" spans="1:4" x14ac:dyDescent="0.25">
      <c r="A7199" s="7" t="s">
        <v>5140</v>
      </c>
      <c r="B7199" s="8" t="s">
        <v>5141</v>
      </c>
      <c r="C7199" s="8" t="s">
        <v>1865</v>
      </c>
      <c r="D7199" s="8" t="str">
        <f>"9789179298289"</f>
        <v>9789179298289</v>
      </c>
    </row>
    <row r="7200" spans="1:4" ht="30" x14ac:dyDescent="0.25">
      <c r="A7200" s="7" t="s">
        <v>1399</v>
      </c>
      <c r="B7200" s="8" t="s">
        <v>1400</v>
      </c>
      <c r="C7200" s="8" t="s">
        <v>1345</v>
      </c>
      <c r="D7200" s="8" t="str">
        <f>"9783899586794"</f>
        <v>9783899586794</v>
      </c>
    </row>
    <row r="7201" spans="1:4" x14ac:dyDescent="0.25">
      <c r="A7201" s="7" t="s">
        <v>9825</v>
      </c>
      <c r="B7201" s="8" t="s">
        <v>9820</v>
      </c>
      <c r="C7201" s="8" t="s">
        <v>993</v>
      </c>
      <c r="D7201" s="8" t="str">
        <f>"9783839405475"</f>
        <v>9783839405475</v>
      </c>
    </row>
    <row r="7202" spans="1:4" ht="60" x14ac:dyDescent="0.25">
      <c r="A7202" s="7" t="s">
        <v>3608</v>
      </c>
      <c r="B7202" s="8" t="s">
        <v>3609</v>
      </c>
      <c r="C7202" s="8" t="s">
        <v>1345</v>
      </c>
      <c r="D7202" s="8" t="str">
        <f>"9783737604635"</f>
        <v>9783737604635</v>
      </c>
    </row>
    <row r="7203" spans="1:4" x14ac:dyDescent="0.25">
      <c r="A7203" s="7" t="s">
        <v>2498</v>
      </c>
      <c r="B7203" s="8" t="s">
        <v>2499</v>
      </c>
      <c r="C7203" s="8" t="s">
        <v>1865</v>
      </c>
      <c r="D7203" s="8" t="str">
        <f>"9789176859391"</f>
        <v>9789176859391</v>
      </c>
    </row>
    <row r="7204" spans="1:4" x14ac:dyDescent="0.25">
      <c r="A7204" s="7" t="s">
        <v>3139</v>
      </c>
      <c r="B7204" s="8" t="s">
        <v>3140</v>
      </c>
      <c r="C7204" s="8" t="s">
        <v>2168</v>
      </c>
      <c r="D7204" s="8" t="str">
        <f>"9780295741970"</f>
        <v>9780295741970</v>
      </c>
    </row>
    <row r="7205" spans="1:4" x14ac:dyDescent="0.25">
      <c r="A7205" s="7" t="s">
        <v>11997</v>
      </c>
      <c r="B7205" s="8" t="s">
        <v>11998</v>
      </c>
      <c r="C7205" s="8" t="s">
        <v>316</v>
      </c>
      <c r="D7205" s="8" t="str">
        <f>"9783110703245"</f>
        <v>9783110703245</v>
      </c>
    </row>
    <row r="7206" spans="1:4" x14ac:dyDescent="0.25">
      <c r="A7206" s="7" t="s">
        <v>6125</v>
      </c>
      <c r="B7206" s="8" t="s">
        <v>6126</v>
      </c>
      <c r="C7206" s="8" t="s">
        <v>2273</v>
      </c>
      <c r="D7206" s="8" t="str">
        <f>"9783319099910"</f>
        <v>9783319099910</v>
      </c>
    </row>
    <row r="7207" spans="1:4" ht="30" x14ac:dyDescent="0.25">
      <c r="A7207" s="7" t="s">
        <v>1549</v>
      </c>
      <c r="B7207" s="8" t="s">
        <v>1550</v>
      </c>
      <c r="C7207" s="8" t="s">
        <v>1345</v>
      </c>
      <c r="D7207" s="8" t="str">
        <f>"9783862192595"</f>
        <v>9783862192595</v>
      </c>
    </row>
    <row r="7208" spans="1:4" x14ac:dyDescent="0.25">
      <c r="A7208" s="7" t="s">
        <v>7245</v>
      </c>
      <c r="B7208" s="8" t="s">
        <v>7246</v>
      </c>
      <c r="C7208" s="8" t="s">
        <v>329</v>
      </c>
      <c r="D7208" s="8" t="str">
        <f>"9789048542895"</f>
        <v>9789048542895</v>
      </c>
    </row>
    <row r="7209" spans="1:4" x14ac:dyDescent="0.25">
      <c r="A7209" s="7" t="s">
        <v>3571</v>
      </c>
      <c r="B7209" s="8"/>
      <c r="C7209" s="8"/>
      <c r="D7209" s="8"/>
    </row>
    <row r="7210" spans="1:4" ht="30" x14ac:dyDescent="0.25">
      <c r="A7210" s="7" t="s">
        <v>16389</v>
      </c>
      <c r="B7210" s="8" t="s">
        <v>4108</v>
      </c>
      <c r="C7210" s="8" t="s">
        <v>1865</v>
      </c>
      <c r="D7210" s="8" t="str">
        <f>"9789175192253"</f>
        <v>9789175192253</v>
      </c>
    </row>
    <row r="7211" spans="1:4" ht="30" x14ac:dyDescent="0.25">
      <c r="A7211" s="7" t="s">
        <v>4161</v>
      </c>
      <c r="B7211" s="8" t="s">
        <v>4162</v>
      </c>
      <c r="C7211" s="8" t="s">
        <v>1865</v>
      </c>
      <c r="D7211" s="8" t="str">
        <f>"9789176851876"</f>
        <v>9789176851876</v>
      </c>
    </row>
    <row r="7212" spans="1:4" x14ac:dyDescent="0.25">
      <c r="A7212" s="7" t="s">
        <v>14790</v>
      </c>
      <c r="B7212" s="8" t="s">
        <v>3603</v>
      </c>
      <c r="C7212" s="8" t="s">
        <v>1865</v>
      </c>
      <c r="D7212" s="8" t="str">
        <f>"9789175192246"</f>
        <v>9789175192246</v>
      </c>
    </row>
    <row r="7213" spans="1:4" x14ac:dyDescent="0.25">
      <c r="A7213" s="7" t="s">
        <v>3602</v>
      </c>
      <c r="B7213" s="8" t="s">
        <v>3603</v>
      </c>
      <c r="C7213" s="8" t="s">
        <v>1865</v>
      </c>
      <c r="D7213" s="8" t="str">
        <f>"9789176853429"</f>
        <v>9789176853429</v>
      </c>
    </row>
    <row r="7214" spans="1:4" x14ac:dyDescent="0.25">
      <c r="A7214" s="7" t="s">
        <v>3751</v>
      </c>
      <c r="B7214" s="8" t="s">
        <v>3752</v>
      </c>
      <c r="C7214" s="8" t="s">
        <v>1865</v>
      </c>
      <c r="D7214" s="8" t="str">
        <f>"9789176853122"</f>
        <v>9789176853122</v>
      </c>
    </row>
    <row r="7215" spans="1:4" x14ac:dyDescent="0.25">
      <c r="A7215" s="7" t="s">
        <v>15577</v>
      </c>
      <c r="B7215" s="8" t="s">
        <v>3752</v>
      </c>
      <c r="C7215" s="8" t="s">
        <v>1865</v>
      </c>
      <c r="D7215" s="8" t="str">
        <f>"9789176859483"</f>
        <v>9789176859483</v>
      </c>
    </row>
    <row r="7216" spans="1:4" ht="30" x14ac:dyDescent="0.25">
      <c r="A7216" s="7" t="s">
        <v>4898</v>
      </c>
      <c r="B7216" s="8" t="s">
        <v>4899</v>
      </c>
      <c r="C7216" s="8" t="s">
        <v>1865</v>
      </c>
      <c r="D7216" s="8" t="str">
        <f>"9789179298784"</f>
        <v>9789179298784</v>
      </c>
    </row>
    <row r="7217" spans="1:4" x14ac:dyDescent="0.25">
      <c r="A7217" s="7" t="s">
        <v>6442</v>
      </c>
      <c r="B7217" s="8" t="s">
        <v>6443</v>
      </c>
      <c r="C7217" s="8" t="s">
        <v>1865</v>
      </c>
      <c r="D7217" s="8" t="str">
        <f>"9789179297145"</f>
        <v>9789179297145</v>
      </c>
    </row>
    <row r="7218" spans="1:4" x14ac:dyDescent="0.25">
      <c r="A7218" s="7" t="s">
        <v>4875</v>
      </c>
      <c r="B7218" s="8" t="s">
        <v>4876</v>
      </c>
      <c r="C7218" s="8" t="s">
        <v>1865</v>
      </c>
      <c r="D7218" s="8" t="str">
        <f>"9789179298791"</f>
        <v>9789179298791</v>
      </c>
    </row>
    <row r="7219" spans="1:4" ht="30" x14ac:dyDescent="0.25">
      <c r="A7219" s="7" t="s">
        <v>6749</v>
      </c>
      <c r="B7219" s="8" t="s">
        <v>6750</v>
      </c>
      <c r="C7219" s="8" t="s">
        <v>1865</v>
      </c>
      <c r="D7219" s="8" t="str">
        <f>"9789179296827"</f>
        <v>9789179296827</v>
      </c>
    </row>
    <row r="7220" spans="1:4" ht="30" x14ac:dyDescent="0.25">
      <c r="A7220" s="7" t="s">
        <v>15695</v>
      </c>
      <c r="B7220" s="8" t="s">
        <v>15696</v>
      </c>
      <c r="C7220" s="8" t="s">
        <v>1865</v>
      </c>
      <c r="D7220" s="8" t="str">
        <f>"9789176856253"</f>
        <v>9789176856253</v>
      </c>
    </row>
    <row r="7221" spans="1:4" x14ac:dyDescent="0.25">
      <c r="A7221" s="7" t="s">
        <v>4107</v>
      </c>
      <c r="B7221" s="8" t="s">
        <v>4108</v>
      </c>
      <c r="C7221" s="8" t="s">
        <v>1865</v>
      </c>
      <c r="D7221" s="8" t="str">
        <f>"9789176852194"</f>
        <v>9789176852194</v>
      </c>
    </row>
    <row r="7222" spans="1:4" x14ac:dyDescent="0.25">
      <c r="A7222" s="7" t="s">
        <v>14442</v>
      </c>
      <c r="B7222" s="8" t="s">
        <v>11011</v>
      </c>
      <c r="C7222" s="8" t="s">
        <v>1865</v>
      </c>
      <c r="D7222" s="8" t="str">
        <f>"9789179297640"</f>
        <v>9789179297640</v>
      </c>
    </row>
    <row r="7223" spans="1:4" ht="30" x14ac:dyDescent="0.25">
      <c r="A7223" s="7" t="s">
        <v>16008</v>
      </c>
      <c r="B7223" s="8" t="s">
        <v>16009</v>
      </c>
      <c r="C7223" s="8" t="s">
        <v>1865</v>
      </c>
      <c r="D7223" s="8" t="str">
        <f>"9789175199061"</f>
        <v>9789175199061</v>
      </c>
    </row>
    <row r="7224" spans="1:4" x14ac:dyDescent="0.25">
      <c r="A7224" s="7" t="s">
        <v>9529</v>
      </c>
      <c r="B7224" s="8" t="s">
        <v>9530</v>
      </c>
      <c r="C7224" s="8" t="s">
        <v>1865</v>
      </c>
      <c r="D7224" s="8" t="str">
        <f>"9789179292713"</f>
        <v>9789179292713</v>
      </c>
    </row>
    <row r="7225" spans="1:4" ht="30" x14ac:dyDescent="0.25">
      <c r="A7225" s="7" t="s">
        <v>14764</v>
      </c>
      <c r="B7225" s="8" t="s">
        <v>14765</v>
      </c>
      <c r="C7225" s="8" t="s">
        <v>1865</v>
      </c>
      <c r="D7225" s="8" t="str">
        <f>"9789175198187"</f>
        <v>9789175198187</v>
      </c>
    </row>
    <row r="7226" spans="1:4" x14ac:dyDescent="0.25">
      <c r="A7226" s="7" t="s">
        <v>15239</v>
      </c>
      <c r="B7226" s="8" t="s">
        <v>15240</v>
      </c>
      <c r="C7226" s="8" t="s">
        <v>1865</v>
      </c>
      <c r="D7226" s="8" t="str">
        <f>"9789175192659"</f>
        <v>9789175192659</v>
      </c>
    </row>
    <row r="7227" spans="1:4" ht="30" x14ac:dyDescent="0.25">
      <c r="A7227" s="7" t="s">
        <v>16213</v>
      </c>
      <c r="B7227" s="8" t="s">
        <v>16214</v>
      </c>
      <c r="C7227" s="8" t="s">
        <v>1865</v>
      </c>
      <c r="D7227" s="8" t="str">
        <f>"9789175196466"</f>
        <v>9789175196466</v>
      </c>
    </row>
    <row r="7228" spans="1:4" ht="30" x14ac:dyDescent="0.25">
      <c r="A7228" s="7" t="s">
        <v>15620</v>
      </c>
      <c r="B7228" s="8" t="s">
        <v>15621</v>
      </c>
      <c r="C7228" s="8" t="s">
        <v>1865</v>
      </c>
      <c r="D7228" s="8" t="str">
        <f>"9789175192079"</f>
        <v>9789175192079</v>
      </c>
    </row>
    <row r="7229" spans="1:4" x14ac:dyDescent="0.25">
      <c r="A7229" s="7" t="s">
        <v>14598</v>
      </c>
      <c r="B7229" s="8" t="s">
        <v>14599</v>
      </c>
      <c r="C7229" s="8" t="s">
        <v>1865</v>
      </c>
      <c r="D7229" s="8" t="str">
        <f>"9789179291754"</f>
        <v>9789179291754</v>
      </c>
    </row>
    <row r="7230" spans="1:4" ht="30" x14ac:dyDescent="0.25">
      <c r="A7230" s="7" t="s">
        <v>14614</v>
      </c>
      <c r="B7230" s="8" t="s">
        <v>14615</v>
      </c>
      <c r="C7230" s="8" t="s">
        <v>1865</v>
      </c>
      <c r="D7230" s="8" t="str">
        <f>"9789179291341"</f>
        <v>9789179291341</v>
      </c>
    </row>
    <row r="7231" spans="1:4" x14ac:dyDescent="0.25">
      <c r="A7231" s="7" t="s">
        <v>3462</v>
      </c>
      <c r="B7231" s="8" t="s">
        <v>3463</v>
      </c>
      <c r="C7231" s="8" t="s">
        <v>1345</v>
      </c>
      <c r="D7231" s="8" t="str">
        <f>"9783737604192"</f>
        <v>9783737604192</v>
      </c>
    </row>
    <row r="7232" spans="1:4" x14ac:dyDescent="0.25">
      <c r="A7232" s="7" t="s">
        <v>11802</v>
      </c>
      <c r="B7232" s="8" t="s">
        <v>7058</v>
      </c>
      <c r="C7232" s="8" t="s">
        <v>355</v>
      </c>
      <c r="D7232" s="8" t="str">
        <f>"9783110498967"</f>
        <v>9783110498967</v>
      </c>
    </row>
    <row r="7233" spans="1:4" x14ac:dyDescent="0.25">
      <c r="A7233" s="7" t="s">
        <v>7536</v>
      </c>
      <c r="B7233" s="8" t="s">
        <v>7537</v>
      </c>
      <c r="C7233" s="8" t="s">
        <v>993</v>
      </c>
      <c r="D7233" s="8" t="str">
        <f>"9783839412312"</f>
        <v>9783839412312</v>
      </c>
    </row>
    <row r="7234" spans="1:4" x14ac:dyDescent="0.25">
      <c r="A7234" s="7" t="s">
        <v>16022</v>
      </c>
      <c r="B7234" s="8" t="s">
        <v>16023</v>
      </c>
      <c r="C7234" s="8" t="s">
        <v>1865</v>
      </c>
      <c r="D7234" s="8" t="str">
        <f>"9789175191652"</f>
        <v>9789175191652</v>
      </c>
    </row>
    <row r="7235" spans="1:4" x14ac:dyDescent="0.25">
      <c r="A7235" s="7" t="s">
        <v>15213</v>
      </c>
      <c r="B7235" s="8" t="s">
        <v>4487</v>
      </c>
      <c r="C7235" s="8" t="s">
        <v>1865</v>
      </c>
      <c r="D7235" s="8" t="str">
        <f>"9789175195940"</f>
        <v>9789175195940</v>
      </c>
    </row>
    <row r="7236" spans="1:4" ht="30" x14ac:dyDescent="0.25">
      <c r="A7236" s="7" t="s">
        <v>4387</v>
      </c>
      <c r="B7236" s="8" t="s">
        <v>4388</v>
      </c>
      <c r="C7236" s="8" t="s">
        <v>1345</v>
      </c>
      <c r="D7236" s="8" t="str">
        <f>"9783737606516"</f>
        <v>9783737606516</v>
      </c>
    </row>
    <row r="7237" spans="1:4" x14ac:dyDescent="0.25">
      <c r="A7237" s="7" t="s">
        <v>4950</v>
      </c>
      <c r="B7237" s="8" t="s">
        <v>4951</v>
      </c>
      <c r="C7237" s="8" t="s">
        <v>1865</v>
      </c>
      <c r="D7237" s="8" t="str">
        <f>"9789179298326"</f>
        <v>9789179298326</v>
      </c>
    </row>
    <row r="7238" spans="1:4" x14ac:dyDescent="0.25">
      <c r="A7238" s="7" t="s">
        <v>15868</v>
      </c>
      <c r="B7238" s="8" t="s">
        <v>15869</v>
      </c>
      <c r="C7238" s="8" t="s">
        <v>1865</v>
      </c>
      <c r="D7238" s="8" t="str">
        <f>"9789175199559"</f>
        <v>9789175199559</v>
      </c>
    </row>
    <row r="7239" spans="1:4" ht="45" x14ac:dyDescent="0.25">
      <c r="A7239" s="7" t="s">
        <v>4009</v>
      </c>
      <c r="B7239" s="8" t="s">
        <v>4010</v>
      </c>
      <c r="C7239" s="8" t="s">
        <v>1345</v>
      </c>
      <c r="D7239" s="8" t="str">
        <f>"9783737604857"</f>
        <v>9783737604857</v>
      </c>
    </row>
    <row r="7240" spans="1:4" ht="30" x14ac:dyDescent="0.25">
      <c r="A7240" s="7" t="s">
        <v>6249</v>
      </c>
      <c r="B7240" s="8" t="s">
        <v>6250</v>
      </c>
      <c r="C7240" s="8" t="s">
        <v>5086</v>
      </c>
      <c r="D7240" s="8" t="str">
        <f>"9783658291679"</f>
        <v>9783658291679</v>
      </c>
    </row>
    <row r="7241" spans="1:4" x14ac:dyDescent="0.25">
      <c r="A7241" s="7" t="s">
        <v>4367</v>
      </c>
      <c r="B7241" s="8" t="s">
        <v>4368</v>
      </c>
      <c r="C7241" s="8" t="s">
        <v>1962</v>
      </c>
      <c r="D7241" s="8" t="str">
        <f>"9782759229208"</f>
        <v>9782759229208</v>
      </c>
    </row>
    <row r="7242" spans="1:4" ht="30" x14ac:dyDescent="0.25">
      <c r="A7242" s="7" t="s">
        <v>1685</v>
      </c>
      <c r="B7242" s="8" t="s">
        <v>1686</v>
      </c>
      <c r="C7242" s="8" t="s">
        <v>1345</v>
      </c>
      <c r="D7242" s="8" t="str">
        <f>"9783862192052"</f>
        <v>9783862192052</v>
      </c>
    </row>
    <row r="7243" spans="1:4" x14ac:dyDescent="0.25">
      <c r="A7243" s="7" t="s">
        <v>3091</v>
      </c>
      <c r="B7243" s="8"/>
      <c r="C7243" s="8"/>
      <c r="D7243" s="8"/>
    </row>
    <row r="7244" spans="1:4" x14ac:dyDescent="0.25">
      <c r="A7244" s="7" t="s">
        <v>13992</v>
      </c>
      <c r="B7244" s="8" t="s">
        <v>13993</v>
      </c>
      <c r="C7244" s="8" t="s">
        <v>2273</v>
      </c>
      <c r="D7244" s="8" t="str">
        <f>"9783031223525"</f>
        <v>9783031223525</v>
      </c>
    </row>
    <row r="7245" spans="1:4" x14ac:dyDescent="0.25">
      <c r="A7245" s="7" t="s">
        <v>12695</v>
      </c>
      <c r="B7245" s="8" t="s">
        <v>12696</v>
      </c>
      <c r="C7245" s="8" t="s">
        <v>5086</v>
      </c>
      <c r="D7245" s="8" t="str">
        <f>"9783658384807"</f>
        <v>9783658384807</v>
      </c>
    </row>
    <row r="7246" spans="1:4" x14ac:dyDescent="0.25">
      <c r="A7246" s="7" t="s">
        <v>3367</v>
      </c>
      <c r="B7246" s="8" t="s">
        <v>3368</v>
      </c>
      <c r="C7246" s="8" t="s">
        <v>1865</v>
      </c>
      <c r="D7246" s="8" t="str">
        <f>"9789176854266"</f>
        <v>9789176854266</v>
      </c>
    </row>
    <row r="7247" spans="1:4" x14ac:dyDescent="0.25">
      <c r="A7247" s="7" t="s">
        <v>4234</v>
      </c>
      <c r="B7247" s="8" t="s">
        <v>4235</v>
      </c>
      <c r="C7247" s="8" t="s">
        <v>1865</v>
      </c>
      <c r="D7247" s="8" t="str">
        <f>"9789176851753"</f>
        <v>9789176851753</v>
      </c>
    </row>
    <row r="7248" spans="1:4" ht="30" x14ac:dyDescent="0.25">
      <c r="A7248" s="7" t="s">
        <v>16217</v>
      </c>
      <c r="B7248" s="8" t="s">
        <v>15401</v>
      </c>
      <c r="C7248" s="8" t="s">
        <v>1865</v>
      </c>
      <c r="D7248" s="8" t="str">
        <f>"9789176857083"</f>
        <v>9789176857083</v>
      </c>
    </row>
    <row r="7249" spans="1:4" x14ac:dyDescent="0.25">
      <c r="A7249" s="7" t="s">
        <v>12379</v>
      </c>
      <c r="B7249" s="8" t="s">
        <v>12380</v>
      </c>
      <c r="C7249" s="8" t="s">
        <v>2273</v>
      </c>
      <c r="D7249" s="8" t="str">
        <f>"9783031019197"</f>
        <v>9783031019197</v>
      </c>
    </row>
    <row r="7250" spans="1:4" ht="30" x14ac:dyDescent="0.25">
      <c r="A7250" s="7" t="s">
        <v>14999</v>
      </c>
      <c r="B7250" s="8" t="s">
        <v>15000</v>
      </c>
      <c r="C7250" s="8" t="s">
        <v>1865</v>
      </c>
      <c r="D7250" s="8" t="str">
        <f>"9789175199078"</f>
        <v>9789175199078</v>
      </c>
    </row>
    <row r="7251" spans="1:4" x14ac:dyDescent="0.25">
      <c r="A7251" s="7" t="s">
        <v>10420</v>
      </c>
      <c r="B7251" s="8" t="s">
        <v>10421</v>
      </c>
      <c r="C7251" s="8" t="s">
        <v>993</v>
      </c>
      <c r="D7251" s="8" t="str">
        <f>"9783839456378"</f>
        <v>9783839456378</v>
      </c>
    </row>
    <row r="7252" spans="1:4" x14ac:dyDescent="0.25">
      <c r="A7252" s="7" t="s">
        <v>1943</v>
      </c>
      <c r="B7252" s="8" t="s">
        <v>1944</v>
      </c>
      <c r="C7252" s="8" t="s">
        <v>1879</v>
      </c>
      <c r="D7252" s="8" t="str">
        <f>"9781783740024"</f>
        <v>9781783740024</v>
      </c>
    </row>
    <row r="7253" spans="1:4" x14ac:dyDescent="0.25">
      <c r="A7253" s="7" t="s">
        <v>6724</v>
      </c>
      <c r="B7253" s="8" t="s">
        <v>6725</v>
      </c>
      <c r="C7253" s="8" t="s">
        <v>2082</v>
      </c>
      <c r="D7253" s="8" t="str">
        <f>"9780472900169"</f>
        <v>9780472900169</v>
      </c>
    </row>
    <row r="7254" spans="1:4" x14ac:dyDescent="0.25">
      <c r="A7254" s="7" t="s">
        <v>7448</v>
      </c>
      <c r="B7254" s="8" t="s">
        <v>7449</v>
      </c>
      <c r="C7254" s="8" t="s">
        <v>993</v>
      </c>
      <c r="D7254" s="8" t="str">
        <f>"9783839415047"</f>
        <v>9783839415047</v>
      </c>
    </row>
    <row r="7255" spans="1:4" x14ac:dyDescent="0.25">
      <c r="A7255" s="7" t="s">
        <v>7601</v>
      </c>
      <c r="B7255" s="8" t="s">
        <v>7449</v>
      </c>
      <c r="C7255" s="8" t="s">
        <v>993</v>
      </c>
      <c r="D7255" s="8" t="str">
        <f>"9783839420317"</f>
        <v>9783839420317</v>
      </c>
    </row>
    <row r="7256" spans="1:4" x14ac:dyDescent="0.25">
      <c r="A7256" s="7" t="s">
        <v>5207</v>
      </c>
      <c r="B7256" s="8" t="s">
        <v>5208</v>
      </c>
      <c r="C7256" s="8" t="s">
        <v>1865</v>
      </c>
      <c r="D7256" s="8" t="str">
        <f>"9789179298005"</f>
        <v>9789179298005</v>
      </c>
    </row>
    <row r="7257" spans="1:4" x14ac:dyDescent="0.25">
      <c r="A7257" s="7" t="s">
        <v>8673</v>
      </c>
      <c r="B7257" s="8" t="s">
        <v>8674</v>
      </c>
      <c r="C7257" s="8" t="s">
        <v>1865</v>
      </c>
      <c r="D7257" s="8" t="str">
        <f>"9789179290641"</f>
        <v>9789179290641</v>
      </c>
    </row>
    <row r="7258" spans="1:4" x14ac:dyDescent="0.25">
      <c r="A7258" s="7" t="s">
        <v>3749</v>
      </c>
      <c r="B7258" s="8" t="s">
        <v>3750</v>
      </c>
      <c r="C7258" s="8" t="s">
        <v>1865</v>
      </c>
      <c r="D7258" s="8" t="str">
        <f>"9789176852910"</f>
        <v>9789176852910</v>
      </c>
    </row>
    <row r="7259" spans="1:4" x14ac:dyDescent="0.25">
      <c r="A7259" s="7" t="s">
        <v>10331</v>
      </c>
      <c r="B7259" s="8" t="s">
        <v>10332</v>
      </c>
      <c r="C7259" s="8" t="s">
        <v>993</v>
      </c>
      <c r="D7259" s="8" t="str">
        <f>"9783839449011"</f>
        <v>9783839449011</v>
      </c>
    </row>
    <row r="7260" spans="1:4" x14ac:dyDescent="0.25">
      <c r="A7260" s="7" t="s">
        <v>6157</v>
      </c>
      <c r="B7260" s="8" t="s">
        <v>6158</v>
      </c>
      <c r="C7260" s="8" t="s">
        <v>2273</v>
      </c>
      <c r="D7260" s="8" t="str">
        <f>"9783319205717"</f>
        <v>9783319205717</v>
      </c>
    </row>
    <row r="7261" spans="1:4" x14ac:dyDescent="0.25">
      <c r="A7261" s="7" t="s">
        <v>4695</v>
      </c>
      <c r="B7261" s="8" t="s">
        <v>4696</v>
      </c>
      <c r="C7261" s="8" t="s">
        <v>2273</v>
      </c>
      <c r="D7261" s="8" t="str">
        <f>"9783030216290"</f>
        <v>9783030216290</v>
      </c>
    </row>
    <row r="7262" spans="1:4" ht="30" x14ac:dyDescent="0.25">
      <c r="A7262" s="7" t="s">
        <v>5795</v>
      </c>
      <c r="B7262" s="8" t="s">
        <v>5796</v>
      </c>
      <c r="C7262" s="8" t="s">
        <v>2273</v>
      </c>
      <c r="D7262" s="8" t="str">
        <f>"9783319129198"</f>
        <v>9783319129198</v>
      </c>
    </row>
    <row r="7263" spans="1:4" x14ac:dyDescent="0.25">
      <c r="A7263" s="7" t="s">
        <v>3676</v>
      </c>
      <c r="B7263" s="8" t="s">
        <v>3677</v>
      </c>
      <c r="C7263" s="8" t="s">
        <v>1879</v>
      </c>
      <c r="D7263" s="8" t="str">
        <f>"9781783744701"</f>
        <v>9781783744701</v>
      </c>
    </row>
    <row r="7264" spans="1:4" ht="30" x14ac:dyDescent="0.25">
      <c r="A7264" s="7" t="s">
        <v>11283</v>
      </c>
      <c r="B7264" s="8" t="s">
        <v>11284</v>
      </c>
      <c r="C7264" s="8" t="s">
        <v>355</v>
      </c>
      <c r="D7264" s="8" t="str">
        <f>"9783110529173"</f>
        <v>9783110529173</v>
      </c>
    </row>
    <row r="7265" spans="1:4" ht="30" x14ac:dyDescent="0.25">
      <c r="A7265" s="7" t="s">
        <v>14445</v>
      </c>
      <c r="B7265" s="8" t="s">
        <v>14446</v>
      </c>
      <c r="C7265" s="8" t="s">
        <v>1865</v>
      </c>
      <c r="D7265" s="8" t="str">
        <f>"9789179295202"</f>
        <v>9789179295202</v>
      </c>
    </row>
    <row r="7266" spans="1:4" ht="30" x14ac:dyDescent="0.25">
      <c r="A7266" s="7" t="s">
        <v>5597</v>
      </c>
      <c r="B7266" s="8" t="s">
        <v>5598</v>
      </c>
      <c r="C7266" s="8" t="s">
        <v>5086</v>
      </c>
      <c r="D7266" s="8" t="str">
        <f>"9783658318215"</f>
        <v>9783658318215</v>
      </c>
    </row>
    <row r="7267" spans="1:4" x14ac:dyDescent="0.25">
      <c r="A7267" s="7" t="s">
        <v>866</v>
      </c>
      <c r="B7267" s="8" t="s">
        <v>867</v>
      </c>
      <c r="C7267" s="8" t="s">
        <v>562</v>
      </c>
      <c r="D7267" s="8" t="str">
        <f>"9780822377238"</f>
        <v>9780822377238</v>
      </c>
    </row>
    <row r="7268" spans="1:4" ht="30" x14ac:dyDescent="0.25">
      <c r="A7268" s="7" t="s">
        <v>478</v>
      </c>
      <c r="B7268" s="8" t="s">
        <v>479</v>
      </c>
      <c r="C7268" s="8" t="s">
        <v>329</v>
      </c>
      <c r="D7268" s="8" t="str">
        <f>"9789048514915"</f>
        <v>9789048514915</v>
      </c>
    </row>
    <row r="7269" spans="1:4" x14ac:dyDescent="0.25">
      <c r="A7269" s="7" t="s">
        <v>8516</v>
      </c>
      <c r="B7269" s="8" t="s">
        <v>8517</v>
      </c>
      <c r="C7269" s="8" t="s">
        <v>993</v>
      </c>
      <c r="D7269" s="8" t="str">
        <f>"9783839443309"</f>
        <v>9783839443309</v>
      </c>
    </row>
    <row r="7270" spans="1:4" x14ac:dyDescent="0.25">
      <c r="A7270" s="7" t="s">
        <v>8392</v>
      </c>
      <c r="B7270" s="8" t="s">
        <v>8393</v>
      </c>
      <c r="C7270" s="8" t="s">
        <v>993</v>
      </c>
      <c r="D7270" s="8" t="str">
        <f>"9783839447734"</f>
        <v>9783839447734</v>
      </c>
    </row>
    <row r="7271" spans="1:4" ht="30" x14ac:dyDescent="0.25">
      <c r="A7271" s="7" t="s">
        <v>10122</v>
      </c>
      <c r="B7271" s="8" t="s">
        <v>8517</v>
      </c>
      <c r="C7271" s="8" t="s">
        <v>993</v>
      </c>
      <c r="D7271" s="8" t="str">
        <f>"9783839436028"</f>
        <v>9783839436028</v>
      </c>
    </row>
    <row r="7272" spans="1:4" x14ac:dyDescent="0.25">
      <c r="A7272" s="7" t="s">
        <v>10097</v>
      </c>
      <c r="B7272" s="8" t="s">
        <v>10098</v>
      </c>
      <c r="C7272" s="8" t="s">
        <v>993</v>
      </c>
      <c r="D7272" s="8" t="str">
        <f>"9783839433522"</f>
        <v>9783839433522</v>
      </c>
    </row>
    <row r="7273" spans="1:4" ht="30" x14ac:dyDescent="0.25">
      <c r="A7273" s="7" t="s">
        <v>14903</v>
      </c>
      <c r="B7273" s="8" t="s">
        <v>14904</v>
      </c>
      <c r="C7273" s="8" t="s">
        <v>1865</v>
      </c>
      <c r="D7273" s="8" t="str">
        <f>"9789176858219"</f>
        <v>9789176858219</v>
      </c>
    </row>
    <row r="7274" spans="1:4" ht="30" x14ac:dyDescent="0.25">
      <c r="A7274" s="7" t="s">
        <v>15081</v>
      </c>
      <c r="B7274" s="8" t="s">
        <v>15082</v>
      </c>
      <c r="C7274" s="8" t="s">
        <v>1865</v>
      </c>
      <c r="D7274" s="8" t="str">
        <f>"9789175198507"</f>
        <v>9789175198507</v>
      </c>
    </row>
    <row r="7275" spans="1:4" x14ac:dyDescent="0.25">
      <c r="A7275" s="7" t="s">
        <v>2831</v>
      </c>
      <c r="B7275" s="8" t="s">
        <v>2832</v>
      </c>
      <c r="C7275" s="8" t="s">
        <v>1865</v>
      </c>
      <c r="D7275" s="8" t="str">
        <f>"9789176856499"</f>
        <v>9789176856499</v>
      </c>
    </row>
    <row r="7276" spans="1:4" x14ac:dyDescent="0.25">
      <c r="A7276" s="7" t="s">
        <v>6683</v>
      </c>
      <c r="B7276" s="8" t="s">
        <v>6684</v>
      </c>
      <c r="C7276" s="8" t="s">
        <v>2273</v>
      </c>
      <c r="D7276" s="8" t="str">
        <f>"9783030648572"</f>
        <v>9783030648572</v>
      </c>
    </row>
    <row r="7277" spans="1:4" ht="30" x14ac:dyDescent="0.25">
      <c r="A7277" s="7" t="s">
        <v>5285</v>
      </c>
      <c r="B7277" s="8" t="s">
        <v>5286</v>
      </c>
      <c r="C7277" s="8" t="s">
        <v>2273</v>
      </c>
      <c r="D7277" s="8" t="str">
        <f>"9783319412528"</f>
        <v>9783319412528</v>
      </c>
    </row>
    <row r="7278" spans="1:4" x14ac:dyDescent="0.25">
      <c r="A7278" s="7" t="s">
        <v>5587</v>
      </c>
      <c r="B7278" s="8" t="s">
        <v>5588</v>
      </c>
      <c r="C7278" s="8" t="s">
        <v>2274</v>
      </c>
      <c r="D7278" s="8" t="str">
        <f>"9789811574979"</f>
        <v>9789811574979</v>
      </c>
    </row>
    <row r="7279" spans="1:4" x14ac:dyDescent="0.25">
      <c r="A7279" s="7" t="s">
        <v>14753</v>
      </c>
      <c r="B7279" s="8" t="s">
        <v>14754</v>
      </c>
      <c r="C7279" s="8" t="s">
        <v>1865</v>
      </c>
      <c r="D7279" s="8" t="str">
        <f>"9789180750011"</f>
        <v>9789180750011</v>
      </c>
    </row>
    <row r="7280" spans="1:4" x14ac:dyDescent="0.25">
      <c r="A7280" s="7" t="s">
        <v>5724</v>
      </c>
      <c r="B7280" s="8" t="s">
        <v>5725</v>
      </c>
      <c r="C7280" s="8" t="s">
        <v>2273</v>
      </c>
      <c r="D7280" s="8" t="str">
        <f>"9783319329758"</f>
        <v>9783319329758</v>
      </c>
    </row>
    <row r="7281" spans="1:4" x14ac:dyDescent="0.25">
      <c r="A7281" s="7" t="s">
        <v>6713</v>
      </c>
      <c r="B7281" s="8" t="s">
        <v>6714</v>
      </c>
      <c r="C7281" s="8" t="s">
        <v>2082</v>
      </c>
      <c r="D7281" s="8" t="str">
        <f>"9780472900275"</f>
        <v>9780472900275</v>
      </c>
    </row>
    <row r="7282" spans="1:4" x14ac:dyDescent="0.25">
      <c r="A7282" s="7" t="s">
        <v>2625</v>
      </c>
      <c r="B7282" s="8" t="s">
        <v>2626</v>
      </c>
      <c r="C7282" s="8" t="s">
        <v>1879</v>
      </c>
      <c r="D7282" s="8" t="str">
        <f>"9781783741397"</f>
        <v>9781783741397</v>
      </c>
    </row>
    <row r="7283" spans="1:4" x14ac:dyDescent="0.25">
      <c r="A7283" s="7" t="s">
        <v>7450</v>
      </c>
      <c r="B7283" s="8" t="s">
        <v>7451</v>
      </c>
      <c r="C7283" s="8" t="s">
        <v>993</v>
      </c>
      <c r="D7283" s="8" t="str">
        <f>"9783839430538"</f>
        <v>9783839430538</v>
      </c>
    </row>
    <row r="7284" spans="1:4" ht="30" x14ac:dyDescent="0.25">
      <c r="A7284" s="7" t="s">
        <v>5572</v>
      </c>
      <c r="B7284" s="8" t="s">
        <v>5573</v>
      </c>
      <c r="C7284" s="8" t="s">
        <v>2273</v>
      </c>
      <c r="D7284" s="8" t="str">
        <f>"9783030285616"</f>
        <v>9783030285616</v>
      </c>
    </row>
    <row r="7285" spans="1:4" x14ac:dyDescent="0.25">
      <c r="A7285" s="7" t="s">
        <v>2295</v>
      </c>
      <c r="B7285" s="8" t="s">
        <v>2296</v>
      </c>
      <c r="C7285" s="8" t="s">
        <v>355</v>
      </c>
      <c r="D7285" s="8" t="str">
        <f>"9783110450552"</f>
        <v>9783110450552</v>
      </c>
    </row>
    <row r="7286" spans="1:4" ht="30" x14ac:dyDescent="0.25">
      <c r="A7286" s="7" t="s">
        <v>1463</v>
      </c>
      <c r="B7286" s="8" t="s">
        <v>1464</v>
      </c>
      <c r="C7286" s="8" t="s">
        <v>1345</v>
      </c>
      <c r="D7286" s="8" t="str">
        <f>"9783862193714"</f>
        <v>9783862193714</v>
      </c>
    </row>
    <row r="7287" spans="1:4" x14ac:dyDescent="0.25">
      <c r="A7287" s="7" t="s">
        <v>6049</v>
      </c>
      <c r="B7287" s="8" t="s">
        <v>6050</v>
      </c>
      <c r="C7287" s="8" t="s">
        <v>2273</v>
      </c>
      <c r="D7287" s="8" t="str">
        <f>"9783319786926"</f>
        <v>9783319786926</v>
      </c>
    </row>
    <row r="7288" spans="1:4" x14ac:dyDescent="0.25">
      <c r="A7288" s="7" t="s">
        <v>12552</v>
      </c>
      <c r="B7288" s="8" t="s">
        <v>12553</v>
      </c>
      <c r="C7288" s="8" t="s">
        <v>2273</v>
      </c>
      <c r="D7288" s="8" t="str">
        <f>"9783031074387"</f>
        <v>9783031074387</v>
      </c>
    </row>
    <row r="7289" spans="1:4" x14ac:dyDescent="0.25">
      <c r="A7289" s="7" t="s">
        <v>5128</v>
      </c>
      <c r="B7289" s="8" t="s">
        <v>124</v>
      </c>
      <c r="C7289" s="8" t="s">
        <v>2273</v>
      </c>
      <c r="D7289" s="8" t="str">
        <f>"9783030505554"</f>
        <v>9783030505554</v>
      </c>
    </row>
    <row r="7290" spans="1:4" x14ac:dyDescent="0.25">
      <c r="A7290" s="7" t="s">
        <v>3953</v>
      </c>
      <c r="B7290" s="8" t="s">
        <v>3954</v>
      </c>
      <c r="C7290" s="8" t="s">
        <v>562</v>
      </c>
      <c r="D7290" s="8" t="str">
        <f>"9781478002215"</f>
        <v>9781478002215</v>
      </c>
    </row>
    <row r="7291" spans="1:4" x14ac:dyDescent="0.25">
      <c r="A7291" s="7" t="s">
        <v>13692</v>
      </c>
      <c r="B7291" s="8" t="s">
        <v>13693</v>
      </c>
      <c r="C7291" s="8" t="s">
        <v>993</v>
      </c>
      <c r="D7291" s="8" t="str">
        <f>"9783839456361"</f>
        <v>9783839456361</v>
      </c>
    </row>
    <row r="7292" spans="1:4" ht="30" x14ac:dyDescent="0.25">
      <c r="A7292" s="7" t="s">
        <v>3622</v>
      </c>
      <c r="B7292" s="8" t="s">
        <v>3623</v>
      </c>
      <c r="C7292" s="8" t="s">
        <v>1345</v>
      </c>
      <c r="D7292" s="8" t="str">
        <f>"9783737604734"</f>
        <v>9783737604734</v>
      </c>
    </row>
    <row r="7293" spans="1:4" ht="30" x14ac:dyDescent="0.25">
      <c r="A7293" s="7" t="s">
        <v>1995</v>
      </c>
      <c r="B7293" s="8" t="s">
        <v>1996</v>
      </c>
      <c r="C7293" s="8" t="s">
        <v>1962</v>
      </c>
      <c r="D7293" s="8" t="str">
        <f>"9782759206919"</f>
        <v>9782759206919</v>
      </c>
    </row>
    <row r="7294" spans="1:4" x14ac:dyDescent="0.25">
      <c r="A7294" s="7" t="s">
        <v>14860</v>
      </c>
      <c r="B7294" s="8" t="s">
        <v>14861</v>
      </c>
      <c r="C7294" s="8" t="s">
        <v>1865</v>
      </c>
      <c r="D7294" s="8" t="str">
        <f>"9789176859155"</f>
        <v>9789176859155</v>
      </c>
    </row>
    <row r="7295" spans="1:4" ht="30" x14ac:dyDescent="0.25">
      <c r="A7295" s="7" t="s">
        <v>1601</v>
      </c>
      <c r="B7295" s="8" t="s">
        <v>1602</v>
      </c>
      <c r="C7295" s="8" t="s">
        <v>1345</v>
      </c>
      <c r="D7295" s="8" t="str">
        <f>"9783862193332"</f>
        <v>9783862193332</v>
      </c>
    </row>
    <row r="7296" spans="1:4" ht="30" x14ac:dyDescent="0.25">
      <c r="A7296" s="7" t="s">
        <v>1669</v>
      </c>
      <c r="B7296" s="8" t="s">
        <v>37</v>
      </c>
      <c r="C7296" s="8" t="s">
        <v>1345</v>
      </c>
      <c r="D7296" s="8" t="str">
        <f>"9783862191635"</f>
        <v>9783862191635</v>
      </c>
    </row>
    <row r="7297" spans="1:4" x14ac:dyDescent="0.25">
      <c r="A7297" s="7" t="s">
        <v>4830</v>
      </c>
      <c r="B7297" s="8" t="s">
        <v>4831</v>
      </c>
      <c r="C7297" s="8" t="s">
        <v>562</v>
      </c>
      <c r="D7297" s="8" t="str">
        <f>"9781478007326"</f>
        <v>9781478007326</v>
      </c>
    </row>
    <row r="7298" spans="1:4" ht="30" x14ac:dyDescent="0.25">
      <c r="A7298" s="7" t="s">
        <v>5975</v>
      </c>
      <c r="B7298" s="8" t="s">
        <v>5976</v>
      </c>
      <c r="C7298" s="8" t="s">
        <v>2273</v>
      </c>
      <c r="D7298" s="8" t="str">
        <f>"9783319257181"</f>
        <v>9783319257181</v>
      </c>
    </row>
    <row r="7299" spans="1:4" x14ac:dyDescent="0.25">
      <c r="A7299" s="7" t="s">
        <v>10640</v>
      </c>
      <c r="B7299" s="8" t="s">
        <v>73</v>
      </c>
      <c r="C7299" s="8" t="s">
        <v>2273</v>
      </c>
      <c r="D7299" s="8" t="str">
        <f>"9783030783075"</f>
        <v>9783030783075</v>
      </c>
    </row>
    <row r="7300" spans="1:4" ht="30" x14ac:dyDescent="0.25">
      <c r="A7300" s="7" t="s">
        <v>8487</v>
      </c>
      <c r="B7300" s="8" t="s">
        <v>8488</v>
      </c>
      <c r="C7300" s="8" t="s">
        <v>993</v>
      </c>
      <c r="D7300" s="8" t="str">
        <f>"9783839455975"</f>
        <v>9783839455975</v>
      </c>
    </row>
    <row r="7301" spans="1:4" ht="30" x14ac:dyDescent="0.25">
      <c r="A7301" s="7" t="s">
        <v>13994</v>
      </c>
      <c r="B7301" s="8" t="s">
        <v>13995</v>
      </c>
      <c r="C7301" s="8" t="s">
        <v>2273</v>
      </c>
      <c r="D7301" s="8" t="str">
        <f>"9783031106170"</f>
        <v>9783031106170</v>
      </c>
    </row>
    <row r="7302" spans="1:4" x14ac:dyDescent="0.25">
      <c r="A7302" s="7" t="s">
        <v>5477</v>
      </c>
      <c r="B7302" s="8" t="s">
        <v>5478</v>
      </c>
      <c r="C7302" s="8" t="s">
        <v>5064</v>
      </c>
      <c r="D7302" s="8" t="str">
        <f>"9789814749145"</f>
        <v>9789814749145</v>
      </c>
    </row>
    <row r="7303" spans="1:4" ht="30" x14ac:dyDescent="0.25">
      <c r="A7303" s="7" t="s">
        <v>2844</v>
      </c>
      <c r="B7303" s="8" t="s">
        <v>2845</v>
      </c>
      <c r="C7303" s="8" t="s">
        <v>1865</v>
      </c>
      <c r="D7303" s="8" t="str">
        <f>"9789176856956"</f>
        <v>9789176856956</v>
      </c>
    </row>
    <row r="7304" spans="1:4" x14ac:dyDescent="0.25">
      <c r="A7304" s="7" t="s">
        <v>5250</v>
      </c>
      <c r="B7304" s="8" t="s">
        <v>5251</v>
      </c>
      <c r="C7304" s="8" t="s">
        <v>2273</v>
      </c>
      <c r="D7304" s="8" t="str">
        <f>"9783030420970"</f>
        <v>9783030420970</v>
      </c>
    </row>
    <row r="7305" spans="1:4" x14ac:dyDescent="0.25">
      <c r="A7305" s="7" t="s">
        <v>7276</v>
      </c>
      <c r="B7305" s="8" t="s">
        <v>7277</v>
      </c>
      <c r="C7305" s="8" t="s">
        <v>1879</v>
      </c>
      <c r="D7305" s="8" t="str">
        <f>"9781800641846"</f>
        <v>9781800641846</v>
      </c>
    </row>
    <row r="7306" spans="1:4" ht="30" x14ac:dyDescent="0.25">
      <c r="A7306" s="7" t="s">
        <v>1862</v>
      </c>
      <c r="B7306" s="8" t="s">
        <v>1863</v>
      </c>
      <c r="C7306" s="8" t="s">
        <v>1345</v>
      </c>
      <c r="D7306" s="8" t="str">
        <f>"9783862199310"</f>
        <v>9783862199310</v>
      </c>
    </row>
    <row r="7307" spans="1:4" ht="30" x14ac:dyDescent="0.25">
      <c r="A7307" s="7" t="s">
        <v>995</v>
      </c>
      <c r="B7307" s="8" t="s">
        <v>996</v>
      </c>
      <c r="C7307" s="8" t="s">
        <v>993</v>
      </c>
      <c r="D7307" s="8" t="str">
        <f>"9783839427187"</f>
        <v>9783839427187</v>
      </c>
    </row>
    <row r="7308" spans="1:4" x14ac:dyDescent="0.25">
      <c r="A7308" s="7" t="s">
        <v>16348</v>
      </c>
      <c r="B7308" s="8" t="s">
        <v>14617</v>
      </c>
      <c r="C7308" s="8" t="s">
        <v>1865</v>
      </c>
      <c r="D7308" s="8" t="str">
        <f>"9789176853078"</f>
        <v>9789176853078</v>
      </c>
    </row>
    <row r="7309" spans="1:4" x14ac:dyDescent="0.25">
      <c r="A7309" s="7" t="s">
        <v>15876</v>
      </c>
      <c r="B7309" s="8" t="s">
        <v>15877</v>
      </c>
      <c r="C7309" s="8" t="s">
        <v>1865</v>
      </c>
      <c r="D7309" s="8" t="str">
        <f>"9789176853283"</f>
        <v>9789176853283</v>
      </c>
    </row>
    <row r="7310" spans="1:4" x14ac:dyDescent="0.25">
      <c r="A7310" s="7" t="s">
        <v>5784</v>
      </c>
      <c r="B7310" s="8" t="s">
        <v>5785</v>
      </c>
      <c r="C7310" s="8" t="s">
        <v>5134</v>
      </c>
      <c r="D7310" s="8" t="str">
        <f>"9783642303821"</f>
        <v>9783642303821</v>
      </c>
    </row>
    <row r="7311" spans="1:4" x14ac:dyDescent="0.25">
      <c r="A7311" s="7" t="s">
        <v>16325</v>
      </c>
      <c r="B7311" s="8" t="s">
        <v>16326</v>
      </c>
      <c r="C7311" s="8" t="s">
        <v>1865</v>
      </c>
      <c r="D7311" s="8" t="str">
        <f>"9789176852750"</f>
        <v>9789176852750</v>
      </c>
    </row>
    <row r="7312" spans="1:4" x14ac:dyDescent="0.25">
      <c r="A7312" s="7" t="s">
        <v>1925</v>
      </c>
      <c r="B7312" s="8" t="s">
        <v>1926</v>
      </c>
      <c r="C7312" s="8" t="s">
        <v>1879</v>
      </c>
      <c r="D7312" s="8" t="str">
        <f>"9781906924119"</f>
        <v>9781906924119</v>
      </c>
    </row>
    <row r="7313" spans="1:4" x14ac:dyDescent="0.25">
      <c r="A7313" s="7" t="s">
        <v>2379</v>
      </c>
      <c r="B7313" s="8" t="s">
        <v>2380</v>
      </c>
      <c r="C7313" s="8" t="s">
        <v>1879</v>
      </c>
      <c r="D7313" s="8" t="str">
        <f>"9781783741045"</f>
        <v>9781783741045</v>
      </c>
    </row>
    <row r="7314" spans="1:4" ht="45" x14ac:dyDescent="0.25">
      <c r="A7314" s="7" t="s">
        <v>11562</v>
      </c>
      <c r="B7314" s="8" t="s">
        <v>11563</v>
      </c>
      <c r="C7314" s="8" t="s">
        <v>355</v>
      </c>
      <c r="D7314" s="8" t="str">
        <f>"9783111611242"</f>
        <v>9783111611242</v>
      </c>
    </row>
    <row r="7315" spans="1:4" ht="30" x14ac:dyDescent="0.25">
      <c r="A7315" s="7" t="s">
        <v>4080</v>
      </c>
      <c r="B7315" s="8" t="s">
        <v>4081</v>
      </c>
      <c r="C7315" s="8" t="s">
        <v>355</v>
      </c>
      <c r="D7315" s="8" t="str">
        <f>"9783110519662"</f>
        <v>9783110519662</v>
      </c>
    </row>
    <row r="7316" spans="1:4" ht="30" x14ac:dyDescent="0.25">
      <c r="A7316" s="7" t="s">
        <v>6983</v>
      </c>
      <c r="B7316" s="8" t="s">
        <v>6984</v>
      </c>
      <c r="C7316" s="8" t="s">
        <v>5086</v>
      </c>
      <c r="D7316" s="8" t="str">
        <f>"9783658325008"</f>
        <v>9783658325008</v>
      </c>
    </row>
    <row r="7317" spans="1:4" x14ac:dyDescent="0.25">
      <c r="A7317" s="7" t="s">
        <v>7306</v>
      </c>
      <c r="B7317" s="8" t="s">
        <v>7307</v>
      </c>
      <c r="C7317" s="8" t="s">
        <v>4245</v>
      </c>
      <c r="D7317" s="8" t="str">
        <f>"9789811604553"</f>
        <v>9789811604553</v>
      </c>
    </row>
    <row r="7318" spans="1:4" x14ac:dyDescent="0.25">
      <c r="A7318" s="7" t="s">
        <v>3116</v>
      </c>
      <c r="B7318" s="8" t="s">
        <v>3117</v>
      </c>
      <c r="C7318" s="8" t="s">
        <v>1865</v>
      </c>
      <c r="D7318" s="8" t="str">
        <f>"9789176855355"</f>
        <v>9789176855355</v>
      </c>
    </row>
    <row r="7319" spans="1:4" x14ac:dyDescent="0.25">
      <c r="A7319" s="7" t="s">
        <v>3578</v>
      </c>
      <c r="B7319" s="8" t="s">
        <v>3579</v>
      </c>
      <c r="C7319" s="8" t="s">
        <v>1865</v>
      </c>
      <c r="D7319" s="8" t="str">
        <f>"9789176853610"</f>
        <v>9789176853610</v>
      </c>
    </row>
    <row r="7320" spans="1:4" x14ac:dyDescent="0.25">
      <c r="A7320" s="7" t="s">
        <v>4471</v>
      </c>
      <c r="B7320" s="8" t="s">
        <v>4472</v>
      </c>
      <c r="C7320" s="8" t="s">
        <v>1879</v>
      </c>
      <c r="D7320" s="8" t="str">
        <f>"9781783746637"</f>
        <v>9781783746637</v>
      </c>
    </row>
    <row r="7321" spans="1:4" x14ac:dyDescent="0.25">
      <c r="A7321" s="7" t="s">
        <v>3890</v>
      </c>
      <c r="B7321" s="8" t="s">
        <v>3888</v>
      </c>
      <c r="C7321" s="8" t="s">
        <v>355</v>
      </c>
      <c r="D7321" s="8" t="str">
        <f>"9783486992540"</f>
        <v>9783486992540</v>
      </c>
    </row>
    <row r="7322" spans="1:4" ht="30" x14ac:dyDescent="0.25">
      <c r="A7322" s="7" t="s">
        <v>14186</v>
      </c>
      <c r="B7322" s="8" t="s">
        <v>138</v>
      </c>
      <c r="C7322" s="8" t="s">
        <v>9256</v>
      </c>
      <c r="D7322" s="8" t="str">
        <f>"9788021099173"</f>
        <v>9788021099173</v>
      </c>
    </row>
    <row r="7323" spans="1:4" x14ac:dyDescent="0.25">
      <c r="A7323" s="7" t="s">
        <v>16211</v>
      </c>
      <c r="B7323" s="8" t="s">
        <v>16212</v>
      </c>
      <c r="C7323" s="8" t="s">
        <v>1865</v>
      </c>
      <c r="D7323" s="8" t="str">
        <f>"9789175195261"</f>
        <v>9789175195261</v>
      </c>
    </row>
    <row r="7324" spans="1:4" ht="30" x14ac:dyDescent="0.25">
      <c r="A7324" s="7" t="s">
        <v>9267</v>
      </c>
      <c r="B7324" s="8" t="s">
        <v>129</v>
      </c>
      <c r="C7324" s="8" t="s">
        <v>9256</v>
      </c>
      <c r="D7324" s="8" t="str">
        <f>"9788021082861"</f>
        <v>9788021082861</v>
      </c>
    </row>
    <row r="7325" spans="1:4" x14ac:dyDescent="0.25">
      <c r="A7325" s="7" t="s">
        <v>9268</v>
      </c>
      <c r="B7325" s="8" t="s">
        <v>130</v>
      </c>
      <c r="C7325" s="8" t="s">
        <v>9256</v>
      </c>
      <c r="D7325" s="8" t="str">
        <f>"9788021082878"</f>
        <v>9788021082878</v>
      </c>
    </row>
    <row r="7326" spans="1:4" x14ac:dyDescent="0.25">
      <c r="A7326" s="7" t="s">
        <v>9266</v>
      </c>
      <c r="B7326" s="8" t="s">
        <v>131</v>
      </c>
      <c r="C7326" s="8" t="s">
        <v>9256</v>
      </c>
      <c r="D7326" s="8" t="str">
        <f>"9788021082854"</f>
        <v>9788021082854</v>
      </c>
    </row>
    <row r="7327" spans="1:4" x14ac:dyDescent="0.25">
      <c r="A7327" s="7" t="s">
        <v>9271</v>
      </c>
      <c r="B7327" s="8" t="s">
        <v>222</v>
      </c>
      <c r="C7327" s="8" t="s">
        <v>9256</v>
      </c>
      <c r="D7327" s="8" t="str">
        <f>"9788021085633"</f>
        <v>9788021085633</v>
      </c>
    </row>
    <row r="7328" spans="1:4" ht="30" x14ac:dyDescent="0.25">
      <c r="A7328" s="7" t="s">
        <v>6326</v>
      </c>
      <c r="B7328" s="8" t="s">
        <v>6327</v>
      </c>
      <c r="C7328" s="8" t="s">
        <v>1879</v>
      </c>
      <c r="D7328" s="8" t="str">
        <f>"9781800640856"</f>
        <v>9781800640856</v>
      </c>
    </row>
    <row r="7329" spans="1:4" x14ac:dyDescent="0.25">
      <c r="A7329" s="7" t="s">
        <v>1973</v>
      </c>
      <c r="B7329" s="8" t="s">
        <v>1974</v>
      </c>
      <c r="C7329" s="8" t="s">
        <v>1962</v>
      </c>
      <c r="D7329" s="8" t="str">
        <f>"9782759206964"</f>
        <v>9782759206964</v>
      </c>
    </row>
    <row r="7330" spans="1:4" ht="30" x14ac:dyDescent="0.25">
      <c r="A7330" s="7" t="s">
        <v>7740</v>
      </c>
      <c r="B7330" s="8" t="s">
        <v>7741</v>
      </c>
      <c r="C7330" s="8" t="s">
        <v>993</v>
      </c>
      <c r="D7330" s="8" t="str">
        <f>"9783839433263"</f>
        <v>9783839433263</v>
      </c>
    </row>
    <row r="7331" spans="1:4" ht="30" x14ac:dyDescent="0.25">
      <c r="A7331" s="7" t="s">
        <v>849</v>
      </c>
      <c r="B7331" s="8" t="s">
        <v>839</v>
      </c>
      <c r="C7331" s="8" t="s">
        <v>355</v>
      </c>
      <c r="D7331" s="8" t="str">
        <f>"9783110345445"</f>
        <v>9783110345445</v>
      </c>
    </row>
    <row r="7332" spans="1:4" x14ac:dyDescent="0.25">
      <c r="A7332" s="7" t="s">
        <v>7117</v>
      </c>
      <c r="B7332" s="8" t="s">
        <v>7118</v>
      </c>
      <c r="C7332" s="8" t="s">
        <v>355</v>
      </c>
      <c r="D7332" s="8" t="str">
        <f>"9783110693959"</f>
        <v>9783110693959</v>
      </c>
    </row>
    <row r="7333" spans="1:4" x14ac:dyDescent="0.25">
      <c r="A7333" s="7" t="s">
        <v>15995</v>
      </c>
      <c r="B7333" s="8" t="s">
        <v>15996</v>
      </c>
      <c r="C7333" s="8" t="s">
        <v>1865</v>
      </c>
      <c r="D7333" s="8" t="str">
        <f>"9789175197425"</f>
        <v>9789175197425</v>
      </c>
    </row>
    <row r="7334" spans="1:4" x14ac:dyDescent="0.25">
      <c r="A7334" s="7" t="s">
        <v>14388</v>
      </c>
      <c r="B7334" s="8" t="s">
        <v>14389</v>
      </c>
      <c r="C7334" s="8" t="s">
        <v>1865</v>
      </c>
      <c r="D7334" s="8" t="str">
        <f>"9789179294267"</f>
        <v>9789179294267</v>
      </c>
    </row>
    <row r="7335" spans="1:4" ht="30" x14ac:dyDescent="0.25">
      <c r="A7335" s="7" t="s">
        <v>6480</v>
      </c>
      <c r="B7335" s="8" t="s">
        <v>6481</v>
      </c>
      <c r="C7335" s="8" t="s">
        <v>1865</v>
      </c>
      <c r="D7335" s="8" t="str">
        <f>"9789179297510"</f>
        <v>9789179297510</v>
      </c>
    </row>
    <row r="7336" spans="1:4" ht="30" x14ac:dyDescent="0.25">
      <c r="A7336" s="7" t="s">
        <v>1885</v>
      </c>
      <c r="B7336" s="8" t="s">
        <v>1886</v>
      </c>
      <c r="C7336" s="8" t="s">
        <v>1879</v>
      </c>
      <c r="D7336" s="8" t="str">
        <f>"9781906924263"</f>
        <v>9781906924263</v>
      </c>
    </row>
    <row r="7337" spans="1:4" x14ac:dyDescent="0.25">
      <c r="A7337" s="7" t="s">
        <v>3667</v>
      </c>
      <c r="B7337" s="8" t="s">
        <v>3668</v>
      </c>
      <c r="C7337" s="8" t="s">
        <v>1879</v>
      </c>
      <c r="D7337" s="8" t="str">
        <f>"9781783743650"</f>
        <v>9781783743650</v>
      </c>
    </row>
    <row r="7338" spans="1:4" x14ac:dyDescent="0.25">
      <c r="A7338" s="7" t="s">
        <v>16119</v>
      </c>
      <c r="B7338" s="8" t="s">
        <v>16120</v>
      </c>
      <c r="C7338" s="8" t="s">
        <v>1865</v>
      </c>
      <c r="D7338" s="8" t="str">
        <f>"9789175198873"</f>
        <v>9789175198873</v>
      </c>
    </row>
    <row r="7339" spans="1:4" x14ac:dyDescent="0.25">
      <c r="A7339" s="7" t="s">
        <v>952</v>
      </c>
      <c r="B7339" s="8" t="s">
        <v>953</v>
      </c>
      <c r="C7339" s="8" t="s">
        <v>355</v>
      </c>
      <c r="D7339" s="8" t="str">
        <f>"9783110412628"</f>
        <v>9783110412628</v>
      </c>
    </row>
    <row r="7340" spans="1:4" x14ac:dyDescent="0.25">
      <c r="A7340" s="7" t="s">
        <v>6410</v>
      </c>
      <c r="B7340" s="8" t="s">
        <v>6411</v>
      </c>
      <c r="C7340" s="8" t="s">
        <v>2273</v>
      </c>
      <c r="D7340" s="8" t="str">
        <f>"9783030594039"</f>
        <v>9783030594039</v>
      </c>
    </row>
    <row r="7341" spans="1:4" x14ac:dyDescent="0.25">
      <c r="A7341" s="7" t="s">
        <v>6620</v>
      </c>
      <c r="B7341" s="8" t="s">
        <v>6621</v>
      </c>
      <c r="C7341" s="8" t="s">
        <v>2273</v>
      </c>
      <c r="D7341" s="8" t="str">
        <f>"9783030447663"</f>
        <v>9783030447663</v>
      </c>
    </row>
    <row r="7342" spans="1:4" x14ac:dyDescent="0.25">
      <c r="A7342" s="7" t="s">
        <v>9523</v>
      </c>
      <c r="B7342" s="8" t="s">
        <v>9524</v>
      </c>
      <c r="C7342" s="8" t="s">
        <v>1053</v>
      </c>
      <c r="D7342" s="8" t="str">
        <f>"9781607329558"</f>
        <v>9781607329558</v>
      </c>
    </row>
    <row r="7343" spans="1:4" x14ac:dyDescent="0.25">
      <c r="A7343" s="7" t="s">
        <v>1923</v>
      </c>
      <c r="B7343" s="8" t="s">
        <v>1924</v>
      </c>
      <c r="C7343" s="8" t="s">
        <v>1879</v>
      </c>
      <c r="D7343" s="8" t="str">
        <f>"9781906924027"</f>
        <v>9781906924027</v>
      </c>
    </row>
    <row r="7344" spans="1:4" ht="30" x14ac:dyDescent="0.25">
      <c r="A7344" s="7" t="s">
        <v>15071</v>
      </c>
      <c r="B7344" s="8" t="s">
        <v>15072</v>
      </c>
      <c r="C7344" s="8" t="s">
        <v>1865</v>
      </c>
      <c r="D7344" s="8" t="str">
        <f>"9789175192734"</f>
        <v>9789175192734</v>
      </c>
    </row>
    <row r="7345" spans="1:4" ht="30" x14ac:dyDescent="0.25">
      <c r="A7345" s="7" t="s">
        <v>9051</v>
      </c>
      <c r="B7345" s="8" t="s">
        <v>9052</v>
      </c>
      <c r="C7345" s="8" t="s">
        <v>2273</v>
      </c>
      <c r="D7345" s="8" t="str">
        <f>"9783030860059"</f>
        <v>9783030860059</v>
      </c>
    </row>
    <row r="7346" spans="1:4" x14ac:dyDescent="0.25">
      <c r="A7346" s="7" t="s">
        <v>7043</v>
      </c>
      <c r="B7346" s="8" t="s">
        <v>7044</v>
      </c>
      <c r="C7346" s="8" t="s">
        <v>329</v>
      </c>
      <c r="D7346" s="8" t="str">
        <f>"9789048544509"</f>
        <v>9789048544509</v>
      </c>
    </row>
    <row r="7347" spans="1:4" x14ac:dyDescent="0.25">
      <c r="A7347" s="7" t="s">
        <v>13795</v>
      </c>
      <c r="B7347" s="8" t="s">
        <v>13796</v>
      </c>
      <c r="C7347" s="8" t="s">
        <v>2273</v>
      </c>
      <c r="D7347" s="8" t="str">
        <f>"9783031086267"</f>
        <v>9783031086267</v>
      </c>
    </row>
    <row r="7348" spans="1:4" ht="30" x14ac:dyDescent="0.25">
      <c r="A7348" s="7" t="s">
        <v>13713</v>
      </c>
      <c r="B7348" s="8" t="s">
        <v>13714</v>
      </c>
      <c r="C7348" s="8" t="s">
        <v>993</v>
      </c>
      <c r="D7348" s="8" t="str">
        <f>"9783839464113"</f>
        <v>9783839464113</v>
      </c>
    </row>
    <row r="7349" spans="1:4" x14ac:dyDescent="0.25">
      <c r="A7349" s="7" t="s">
        <v>4522</v>
      </c>
      <c r="B7349" s="8" t="s">
        <v>4268</v>
      </c>
      <c r="C7349" s="8" t="s">
        <v>1962</v>
      </c>
      <c r="D7349" s="8" t="str">
        <f>"9782759230570"</f>
        <v>9782759230570</v>
      </c>
    </row>
    <row r="7350" spans="1:4" x14ac:dyDescent="0.25">
      <c r="A7350" s="7" t="s">
        <v>1920</v>
      </c>
      <c r="B7350" s="8" t="s">
        <v>1921</v>
      </c>
      <c r="C7350" s="8" t="s">
        <v>1879</v>
      </c>
      <c r="D7350" s="8" t="str">
        <f>"9781906924058"</f>
        <v>9781906924058</v>
      </c>
    </row>
    <row r="7351" spans="1:4" x14ac:dyDescent="0.25">
      <c r="A7351" s="7" t="s">
        <v>15402</v>
      </c>
      <c r="B7351" s="8"/>
      <c r="C7351" s="8"/>
      <c r="D7351" s="8"/>
    </row>
    <row r="7352" spans="1:4" ht="30" x14ac:dyDescent="0.25">
      <c r="A7352" s="7" t="s">
        <v>8091</v>
      </c>
      <c r="B7352" s="8" t="s">
        <v>6717</v>
      </c>
      <c r="C7352" s="8" t="s">
        <v>6716</v>
      </c>
      <c r="D7352" s="8" t="str">
        <f>"9780472902057"</f>
        <v>9780472902057</v>
      </c>
    </row>
    <row r="7353" spans="1:4" x14ac:dyDescent="0.25">
      <c r="A7353" s="7" t="s">
        <v>6715</v>
      </c>
      <c r="B7353" s="8" t="s">
        <v>6717</v>
      </c>
      <c r="C7353" s="8" t="s">
        <v>6716</v>
      </c>
      <c r="D7353" s="8" t="str">
        <f>"9780472902064"</f>
        <v>9780472902064</v>
      </c>
    </row>
    <row r="7354" spans="1:4" x14ac:dyDescent="0.25">
      <c r="A7354" s="7" t="s">
        <v>12441</v>
      </c>
      <c r="B7354" s="8" t="s">
        <v>12442</v>
      </c>
      <c r="C7354" s="8" t="s">
        <v>2082</v>
      </c>
      <c r="D7354" s="8" t="str">
        <f>"9780472900343"</f>
        <v>9780472900343</v>
      </c>
    </row>
    <row r="7355" spans="1:4" x14ac:dyDescent="0.25">
      <c r="A7355" s="7" t="s">
        <v>8650</v>
      </c>
      <c r="B7355" s="8" t="s">
        <v>8651</v>
      </c>
      <c r="C7355" s="8" t="s">
        <v>1342</v>
      </c>
      <c r="D7355" s="8" t="str">
        <f>"9789633863701"</f>
        <v>9789633863701</v>
      </c>
    </row>
    <row r="7356" spans="1:4" ht="30" x14ac:dyDescent="0.25">
      <c r="A7356" s="7" t="s">
        <v>4220</v>
      </c>
      <c r="B7356" s="8" t="s">
        <v>4221</v>
      </c>
      <c r="C7356" s="8" t="s">
        <v>1865</v>
      </c>
      <c r="D7356" s="8" t="str">
        <f>"9789176851708"</f>
        <v>9789176851708</v>
      </c>
    </row>
    <row r="7357" spans="1:4" x14ac:dyDescent="0.25">
      <c r="A7357" s="7" t="s">
        <v>1959</v>
      </c>
      <c r="B7357" s="8" t="s">
        <v>1960</v>
      </c>
      <c r="C7357" s="8" t="s">
        <v>1879</v>
      </c>
      <c r="D7357" s="8" t="str">
        <f>"9781783740291"</f>
        <v>9781783740291</v>
      </c>
    </row>
    <row r="7358" spans="1:4" x14ac:dyDescent="0.25">
      <c r="A7358" s="7" t="s">
        <v>620</v>
      </c>
      <c r="B7358" s="8" t="s">
        <v>621</v>
      </c>
      <c r="C7358" s="8" t="s">
        <v>562</v>
      </c>
      <c r="D7358" s="8" t="str">
        <f>"9780822392989"</f>
        <v>9780822392989</v>
      </c>
    </row>
    <row r="7359" spans="1:4" x14ac:dyDescent="0.25">
      <c r="A7359" s="7" t="s">
        <v>2282</v>
      </c>
      <c r="B7359" s="8" t="s">
        <v>2283</v>
      </c>
      <c r="C7359" s="8" t="s">
        <v>355</v>
      </c>
      <c r="D7359" s="8" t="str">
        <f>"9783110439731"</f>
        <v>9783110439731</v>
      </c>
    </row>
    <row r="7360" spans="1:4" ht="30" x14ac:dyDescent="0.25">
      <c r="A7360" s="7" t="s">
        <v>508</v>
      </c>
      <c r="B7360" s="8" t="s">
        <v>509</v>
      </c>
      <c r="C7360" s="8" t="s">
        <v>316</v>
      </c>
      <c r="D7360" s="8" t="str">
        <f>"9783110266405"</f>
        <v>9783110266405</v>
      </c>
    </row>
    <row r="7361" spans="1:4" x14ac:dyDescent="0.25">
      <c r="A7361" s="7" t="s">
        <v>3874</v>
      </c>
      <c r="B7361" s="8" t="s">
        <v>3875</v>
      </c>
      <c r="C7361" s="8" t="s">
        <v>355</v>
      </c>
      <c r="D7361" s="8" t="str">
        <f>"9783110541441"</f>
        <v>9783110541441</v>
      </c>
    </row>
    <row r="7362" spans="1:4" ht="30" x14ac:dyDescent="0.25">
      <c r="A7362" s="7" t="s">
        <v>462</v>
      </c>
      <c r="B7362" s="8" t="s">
        <v>463</v>
      </c>
      <c r="C7362" s="8" t="s">
        <v>329</v>
      </c>
      <c r="D7362" s="8" t="str">
        <f>"9789048514748"</f>
        <v>9789048514748</v>
      </c>
    </row>
    <row r="7363" spans="1:4" x14ac:dyDescent="0.25">
      <c r="A7363" s="7" t="s">
        <v>8939</v>
      </c>
      <c r="B7363" s="8" t="s">
        <v>8940</v>
      </c>
      <c r="C7363" s="8" t="s">
        <v>4245</v>
      </c>
      <c r="D7363" s="8" t="str">
        <f>"9789811668111"</f>
        <v>9789811668111</v>
      </c>
    </row>
    <row r="7364" spans="1:4" x14ac:dyDescent="0.25">
      <c r="A7364" s="7" t="s">
        <v>276</v>
      </c>
      <c r="B7364" s="8" t="s">
        <v>277</v>
      </c>
      <c r="C7364" s="8" t="s">
        <v>227</v>
      </c>
      <c r="D7364" s="8" t="str">
        <f>"9781847790576"</f>
        <v>9781847790576</v>
      </c>
    </row>
    <row r="7365" spans="1:4" x14ac:dyDescent="0.25">
      <c r="A7365" s="7" t="s">
        <v>8853</v>
      </c>
      <c r="B7365" s="8" t="s">
        <v>8854</v>
      </c>
      <c r="C7365" s="8" t="s">
        <v>1865</v>
      </c>
      <c r="D7365" s="8" t="str">
        <f>"9789179291273"</f>
        <v>9789179291273</v>
      </c>
    </row>
    <row r="7366" spans="1:4" x14ac:dyDescent="0.25">
      <c r="A7366" s="7" t="s">
        <v>13412</v>
      </c>
      <c r="B7366" s="8" t="s">
        <v>13413</v>
      </c>
      <c r="C7366" s="8" t="s">
        <v>2273</v>
      </c>
      <c r="D7366" s="8" t="str">
        <f>"9783031097638"</f>
        <v>9783031097638</v>
      </c>
    </row>
    <row r="7367" spans="1:4" x14ac:dyDescent="0.25">
      <c r="A7367" s="7" t="s">
        <v>5556</v>
      </c>
      <c r="B7367" s="8" t="s">
        <v>41</v>
      </c>
      <c r="C7367" s="8" t="s">
        <v>1879</v>
      </c>
      <c r="D7367" s="8" t="str">
        <f>"9781783748983"</f>
        <v>9781783748983</v>
      </c>
    </row>
    <row r="7368" spans="1:4" x14ac:dyDescent="0.25">
      <c r="A7368" s="7" t="s">
        <v>9411</v>
      </c>
      <c r="B7368" s="8" t="s">
        <v>133</v>
      </c>
      <c r="C7368" s="8" t="s">
        <v>9256</v>
      </c>
      <c r="D7368" s="8" t="str">
        <f>"9788021098039"</f>
        <v>9788021098039</v>
      </c>
    </row>
    <row r="7369" spans="1:4" ht="30" x14ac:dyDescent="0.25">
      <c r="A7369" s="7" t="s">
        <v>14618</v>
      </c>
      <c r="B7369" s="8" t="s">
        <v>14619</v>
      </c>
      <c r="C7369" s="8" t="s">
        <v>1865</v>
      </c>
      <c r="D7369" s="8" t="str">
        <f>"9789179296902"</f>
        <v>9789179296902</v>
      </c>
    </row>
    <row r="7370" spans="1:4" x14ac:dyDescent="0.25">
      <c r="A7370" s="7" t="s">
        <v>8954</v>
      </c>
      <c r="B7370" s="8" t="s">
        <v>8955</v>
      </c>
      <c r="C7370" s="8" t="s">
        <v>2273</v>
      </c>
      <c r="D7370" s="8" t="str">
        <f>"9783030784409"</f>
        <v>9783030784409</v>
      </c>
    </row>
    <row r="7371" spans="1:4" x14ac:dyDescent="0.25">
      <c r="A7371" s="7" t="s">
        <v>11671</v>
      </c>
      <c r="B7371" s="8" t="s">
        <v>11672</v>
      </c>
      <c r="C7371" s="8" t="s">
        <v>316</v>
      </c>
      <c r="D7371" s="8" t="str">
        <f>"9783111342542"</f>
        <v>9783111342542</v>
      </c>
    </row>
    <row r="7372" spans="1:4" ht="30" x14ac:dyDescent="0.25">
      <c r="A7372" s="7" t="s">
        <v>14294</v>
      </c>
      <c r="B7372" s="8" t="s">
        <v>14295</v>
      </c>
      <c r="C7372" s="8" t="s">
        <v>2273</v>
      </c>
      <c r="D7372" s="8" t="str">
        <f>"9783031225666"</f>
        <v>9783031225666</v>
      </c>
    </row>
    <row r="7373" spans="1:4" ht="30" x14ac:dyDescent="0.25">
      <c r="A7373" s="7" t="s">
        <v>5333</v>
      </c>
      <c r="B7373" s="8" t="s">
        <v>5334</v>
      </c>
      <c r="C7373" s="8" t="s">
        <v>1879</v>
      </c>
      <c r="D7373" s="8" t="str">
        <f>"9781783745777"</f>
        <v>9781783745777</v>
      </c>
    </row>
    <row r="7374" spans="1:4" x14ac:dyDescent="0.25">
      <c r="A7374" s="7" t="s">
        <v>9961</v>
      </c>
      <c r="B7374" s="8" t="s">
        <v>9962</v>
      </c>
      <c r="C7374" s="8" t="s">
        <v>993</v>
      </c>
      <c r="D7374" s="8" t="str">
        <f>"9783839408858"</f>
        <v>9783839408858</v>
      </c>
    </row>
    <row r="7375" spans="1:4" x14ac:dyDescent="0.25">
      <c r="A7375" s="7" t="s">
        <v>4379</v>
      </c>
      <c r="B7375" s="8" t="s">
        <v>4380</v>
      </c>
      <c r="C7375" s="8" t="s">
        <v>1224</v>
      </c>
      <c r="D7375" s="8" t="str">
        <f>"9781618119520"</f>
        <v>9781618119520</v>
      </c>
    </row>
    <row r="7376" spans="1:4" x14ac:dyDescent="0.25">
      <c r="A7376" s="7" t="s">
        <v>8892</v>
      </c>
      <c r="B7376" s="8" t="s">
        <v>8893</v>
      </c>
      <c r="C7376" s="8" t="s">
        <v>4245</v>
      </c>
      <c r="D7376" s="8" t="str">
        <f>"9789811631887"</f>
        <v>9789811631887</v>
      </c>
    </row>
    <row r="7377" spans="1:4" x14ac:dyDescent="0.25">
      <c r="A7377" s="7" t="s">
        <v>7759</v>
      </c>
      <c r="B7377" s="8" t="s">
        <v>7760</v>
      </c>
      <c r="C7377" s="8" t="s">
        <v>993</v>
      </c>
      <c r="D7377" s="8" t="str">
        <f>"9783839424780"</f>
        <v>9783839424780</v>
      </c>
    </row>
    <row r="7378" spans="1:4" ht="30" x14ac:dyDescent="0.25">
      <c r="A7378" s="7" t="s">
        <v>14738</v>
      </c>
      <c r="B7378" s="8" t="s">
        <v>14739</v>
      </c>
      <c r="C7378" s="8" t="s">
        <v>1879</v>
      </c>
      <c r="D7378" s="8" t="str">
        <f>"9781800647657"</f>
        <v>9781800647657</v>
      </c>
    </row>
    <row r="7379" spans="1:4" x14ac:dyDescent="0.25">
      <c r="A7379" s="7" t="s">
        <v>4628</v>
      </c>
      <c r="B7379" s="8" t="s">
        <v>4629</v>
      </c>
      <c r="C7379" s="8" t="s">
        <v>2073</v>
      </c>
      <c r="D7379" s="8" t="str">
        <f>"9781438475653"</f>
        <v>9781438475653</v>
      </c>
    </row>
    <row r="7380" spans="1:4" x14ac:dyDescent="0.25">
      <c r="A7380" s="7" t="s">
        <v>4559</v>
      </c>
      <c r="B7380" s="8" t="s">
        <v>4560</v>
      </c>
      <c r="C7380" s="8" t="s">
        <v>562</v>
      </c>
      <c r="D7380" s="8" t="str">
        <f>"9781478005346"</f>
        <v>9781478005346</v>
      </c>
    </row>
    <row r="7381" spans="1:4" x14ac:dyDescent="0.25">
      <c r="A7381" s="7" t="s">
        <v>11100</v>
      </c>
      <c r="B7381" s="8" t="s">
        <v>11101</v>
      </c>
      <c r="C7381" s="8" t="s">
        <v>2082</v>
      </c>
      <c r="D7381" s="8" t="str">
        <f>"9780472901012"</f>
        <v>9780472901012</v>
      </c>
    </row>
    <row r="7382" spans="1:4" ht="30" x14ac:dyDescent="0.25">
      <c r="A7382" s="7" t="s">
        <v>3065</v>
      </c>
      <c r="B7382" s="8" t="s">
        <v>3066</v>
      </c>
      <c r="C7382" s="8" t="s">
        <v>355</v>
      </c>
      <c r="D7382" s="8" t="str">
        <f>"9788376560472"</f>
        <v>9788376560472</v>
      </c>
    </row>
    <row r="7383" spans="1:4" x14ac:dyDescent="0.25">
      <c r="A7383" s="7" t="s">
        <v>11105</v>
      </c>
      <c r="B7383" s="8" t="s">
        <v>11106</v>
      </c>
      <c r="C7383" s="8" t="s">
        <v>2082</v>
      </c>
      <c r="D7383" s="8" t="str">
        <f>"9780472900961"</f>
        <v>9780472900961</v>
      </c>
    </row>
    <row r="7384" spans="1:4" x14ac:dyDescent="0.25">
      <c r="A7384" s="7" t="s">
        <v>3931</v>
      </c>
      <c r="B7384" s="8" t="s">
        <v>3895</v>
      </c>
      <c r="C7384" s="8" t="s">
        <v>355</v>
      </c>
      <c r="D7384" s="8" t="str">
        <f>"9783110548372"</f>
        <v>9783110548372</v>
      </c>
    </row>
    <row r="7385" spans="1:4" x14ac:dyDescent="0.25">
      <c r="A7385" s="7" t="s">
        <v>3894</v>
      </c>
      <c r="B7385" s="8" t="s">
        <v>3895</v>
      </c>
      <c r="C7385" s="8" t="s">
        <v>355</v>
      </c>
      <c r="D7385" s="8" t="str">
        <f>"9783110562392"</f>
        <v>9783110562392</v>
      </c>
    </row>
    <row r="7386" spans="1:4" x14ac:dyDescent="0.25">
      <c r="A7386" s="7" t="s">
        <v>8560</v>
      </c>
      <c r="B7386" s="8" t="s">
        <v>8561</v>
      </c>
      <c r="C7386" s="8" t="s">
        <v>6716</v>
      </c>
      <c r="D7386" s="8" t="str">
        <f>"9780472880027"</f>
        <v>9780472880027</v>
      </c>
    </row>
    <row r="7387" spans="1:4" ht="30" x14ac:dyDescent="0.25">
      <c r="A7387" s="7" t="s">
        <v>3804</v>
      </c>
      <c r="B7387" s="8" t="s">
        <v>3805</v>
      </c>
      <c r="C7387" s="8" t="s">
        <v>1865</v>
      </c>
      <c r="D7387" s="8" t="str">
        <f>"9789176852705"</f>
        <v>9789176852705</v>
      </c>
    </row>
    <row r="7388" spans="1:4" x14ac:dyDescent="0.25">
      <c r="A7388" s="7" t="s">
        <v>8168</v>
      </c>
      <c r="B7388" s="8" t="s">
        <v>8169</v>
      </c>
      <c r="C7388" s="8" t="s">
        <v>993</v>
      </c>
      <c r="D7388" s="8" t="str">
        <f>"9783839451045"</f>
        <v>9783839451045</v>
      </c>
    </row>
    <row r="7389" spans="1:4" x14ac:dyDescent="0.25">
      <c r="A7389" s="7" t="s">
        <v>15423</v>
      </c>
      <c r="B7389" s="8" t="s">
        <v>15424</v>
      </c>
      <c r="C7389" s="8" t="s">
        <v>1865</v>
      </c>
      <c r="D7389" s="8" t="str">
        <f>"9789175197975"</f>
        <v>9789175197975</v>
      </c>
    </row>
    <row r="7390" spans="1:4" x14ac:dyDescent="0.25">
      <c r="A7390" s="7" t="s">
        <v>5321</v>
      </c>
      <c r="B7390" s="8" t="s">
        <v>5322</v>
      </c>
      <c r="C7390" s="8" t="s">
        <v>2273</v>
      </c>
      <c r="D7390" s="8" t="str">
        <f>"9783319412856"</f>
        <v>9783319412856</v>
      </c>
    </row>
    <row r="7391" spans="1:4" ht="30" x14ac:dyDescent="0.25">
      <c r="A7391" s="7" t="s">
        <v>15745</v>
      </c>
      <c r="B7391" s="8" t="s">
        <v>15746</v>
      </c>
      <c r="C7391" s="8" t="s">
        <v>1865</v>
      </c>
      <c r="D7391" s="8" t="str">
        <f>"9789175190327"</f>
        <v>9789175190327</v>
      </c>
    </row>
    <row r="7392" spans="1:4" x14ac:dyDescent="0.25">
      <c r="A7392" s="7" t="s">
        <v>5319</v>
      </c>
      <c r="B7392" s="8" t="s">
        <v>5320</v>
      </c>
      <c r="C7392" s="8" t="s">
        <v>2273</v>
      </c>
      <c r="D7392" s="8" t="str">
        <f>"9783319263007"</f>
        <v>9783319263007</v>
      </c>
    </row>
    <row r="7393" spans="1:4" x14ac:dyDescent="0.25">
      <c r="A7393" s="7" t="s">
        <v>2240</v>
      </c>
      <c r="B7393" s="8" t="s">
        <v>2241</v>
      </c>
      <c r="C7393" s="8" t="s">
        <v>355</v>
      </c>
      <c r="D7393" s="8" t="str">
        <f>"9783110441116"</f>
        <v>9783110441116</v>
      </c>
    </row>
    <row r="7394" spans="1:4" ht="30" x14ac:dyDescent="0.25">
      <c r="A7394" s="7" t="s">
        <v>4495</v>
      </c>
      <c r="B7394" s="8" t="s">
        <v>4496</v>
      </c>
      <c r="C7394" s="8" t="s">
        <v>1865</v>
      </c>
      <c r="D7394" s="8" t="str">
        <f>"9789176851203"</f>
        <v>9789176851203</v>
      </c>
    </row>
    <row r="7395" spans="1:4" x14ac:dyDescent="0.25">
      <c r="A7395" s="7" t="s">
        <v>8623</v>
      </c>
      <c r="B7395" s="8" t="s">
        <v>8624</v>
      </c>
      <c r="C7395" s="8" t="s">
        <v>562</v>
      </c>
      <c r="D7395" s="8" t="str">
        <f>"9781478012993"</f>
        <v>9781478012993</v>
      </c>
    </row>
    <row r="7396" spans="1:4" x14ac:dyDescent="0.25">
      <c r="A7396" s="7" t="s">
        <v>10938</v>
      </c>
      <c r="B7396" s="8" t="s">
        <v>10939</v>
      </c>
      <c r="C7396" s="8" t="s">
        <v>355</v>
      </c>
      <c r="D7396" s="8" t="str">
        <f>"9783110581546"</f>
        <v>9783110581546</v>
      </c>
    </row>
    <row r="7397" spans="1:4" x14ac:dyDescent="0.25">
      <c r="A7397" s="7" t="s">
        <v>10954</v>
      </c>
      <c r="B7397" s="8" t="s">
        <v>10955</v>
      </c>
      <c r="C7397" s="8" t="s">
        <v>9138</v>
      </c>
      <c r="D7397" s="8" t="str">
        <f>"9780520971158"</f>
        <v>9780520971158</v>
      </c>
    </row>
    <row r="7398" spans="1:4" x14ac:dyDescent="0.25">
      <c r="A7398" s="7" t="s">
        <v>1936</v>
      </c>
      <c r="B7398" s="8" t="s">
        <v>1937</v>
      </c>
      <c r="C7398" s="8" t="s">
        <v>1879</v>
      </c>
      <c r="D7398" s="8" t="str">
        <f>"9781909254770"</f>
        <v>9781909254770</v>
      </c>
    </row>
    <row r="7399" spans="1:4" x14ac:dyDescent="0.25">
      <c r="A7399" s="7" t="s">
        <v>14371</v>
      </c>
      <c r="B7399" s="8" t="s">
        <v>1924</v>
      </c>
      <c r="C7399" s="8" t="s">
        <v>1879</v>
      </c>
      <c r="D7399" s="8" t="str">
        <f>"9781800643468"</f>
        <v>9781800643468</v>
      </c>
    </row>
    <row r="7400" spans="1:4" ht="30" x14ac:dyDescent="0.25">
      <c r="A7400" s="7" t="s">
        <v>2894</v>
      </c>
      <c r="B7400" s="8" t="s">
        <v>2895</v>
      </c>
      <c r="C7400" s="8" t="s">
        <v>1865</v>
      </c>
      <c r="D7400" s="8" t="str">
        <f>"9789176856413"</f>
        <v>9789176856413</v>
      </c>
    </row>
    <row r="7401" spans="1:4" ht="30" x14ac:dyDescent="0.25">
      <c r="A7401" s="7" t="s">
        <v>1327</v>
      </c>
      <c r="B7401" s="8" t="s">
        <v>1328</v>
      </c>
      <c r="C7401" s="8" t="s">
        <v>1224</v>
      </c>
      <c r="D7401" s="8" t="str">
        <f>"9781618112798"</f>
        <v>9781618112798</v>
      </c>
    </row>
    <row r="7402" spans="1:4" ht="30" x14ac:dyDescent="0.25">
      <c r="A7402" s="7" t="s">
        <v>2570</v>
      </c>
      <c r="B7402" s="8" t="s">
        <v>2571</v>
      </c>
      <c r="C7402" s="8" t="s">
        <v>355</v>
      </c>
      <c r="D7402" s="8" t="str">
        <f>"9783110468298"</f>
        <v>9783110468298</v>
      </c>
    </row>
    <row r="7403" spans="1:4" x14ac:dyDescent="0.25">
      <c r="A7403" s="7" t="s">
        <v>8629</v>
      </c>
      <c r="B7403" s="8" t="s">
        <v>6513</v>
      </c>
      <c r="C7403" s="8" t="s">
        <v>2273</v>
      </c>
      <c r="D7403" s="8" t="str">
        <f>"9783030820527"</f>
        <v>9783030820527</v>
      </c>
    </row>
    <row r="7404" spans="1:4" x14ac:dyDescent="0.25">
      <c r="A7404" s="7" t="s">
        <v>3909</v>
      </c>
      <c r="B7404" s="8" t="s">
        <v>3910</v>
      </c>
      <c r="C7404" s="8" t="s">
        <v>355</v>
      </c>
      <c r="D7404" s="8" t="str">
        <f>"9783110581928"</f>
        <v>9783110581928</v>
      </c>
    </row>
    <row r="7405" spans="1:4" x14ac:dyDescent="0.25">
      <c r="A7405" s="7" t="s">
        <v>13862</v>
      </c>
      <c r="B7405" s="8" t="s">
        <v>13863</v>
      </c>
      <c r="C7405" s="8" t="s">
        <v>355</v>
      </c>
      <c r="D7405" s="8" t="str">
        <f>"9783110798913"</f>
        <v>9783110798913</v>
      </c>
    </row>
    <row r="7406" spans="1:4" x14ac:dyDescent="0.25">
      <c r="A7406" s="7" t="s">
        <v>385</v>
      </c>
      <c r="B7406" s="8" t="s">
        <v>386</v>
      </c>
      <c r="C7406" s="8" t="s">
        <v>227</v>
      </c>
      <c r="D7406" s="8" t="str">
        <f>"9781847790712"</f>
        <v>9781847790712</v>
      </c>
    </row>
    <row r="7407" spans="1:4" x14ac:dyDescent="0.25">
      <c r="A7407" s="7" t="s">
        <v>9613</v>
      </c>
      <c r="B7407" s="8" t="s">
        <v>9614</v>
      </c>
      <c r="C7407" s="8" t="s">
        <v>9476</v>
      </c>
      <c r="D7407" s="8" t="str">
        <f>"9781787449428"</f>
        <v>9781787449428</v>
      </c>
    </row>
    <row r="7408" spans="1:4" x14ac:dyDescent="0.25">
      <c r="A7408" s="7" t="s">
        <v>872</v>
      </c>
      <c r="B7408" s="8" t="s">
        <v>873</v>
      </c>
      <c r="C7408" s="8" t="s">
        <v>355</v>
      </c>
      <c r="D7408" s="8" t="str">
        <f>"9783110372656"</f>
        <v>9783110372656</v>
      </c>
    </row>
    <row r="7409" spans="1:4" x14ac:dyDescent="0.25">
      <c r="A7409" s="7" t="s">
        <v>2882</v>
      </c>
      <c r="B7409" s="8" t="s">
        <v>2883</v>
      </c>
      <c r="C7409" s="8" t="s">
        <v>1865</v>
      </c>
      <c r="D7409" s="8" t="str">
        <f>"9789176856598"</f>
        <v>9789176856598</v>
      </c>
    </row>
    <row r="7410" spans="1:4" ht="30" x14ac:dyDescent="0.25">
      <c r="A7410" s="7" t="s">
        <v>2797</v>
      </c>
      <c r="B7410" s="8" t="s">
        <v>2798</v>
      </c>
      <c r="C7410" s="8" t="s">
        <v>1865</v>
      </c>
      <c r="D7410" s="8" t="str">
        <f>"9789176856420"</f>
        <v>9789176856420</v>
      </c>
    </row>
    <row r="7411" spans="1:4" ht="30" x14ac:dyDescent="0.25">
      <c r="A7411" s="7" t="s">
        <v>5968</v>
      </c>
      <c r="B7411" s="8" t="s">
        <v>5969</v>
      </c>
      <c r="C7411" s="8" t="s">
        <v>2273</v>
      </c>
      <c r="D7411" s="8" t="str">
        <f>"9783319652443"</f>
        <v>9783319652443</v>
      </c>
    </row>
    <row r="7412" spans="1:4" x14ac:dyDescent="0.25">
      <c r="A7412" s="7" t="s">
        <v>5111</v>
      </c>
      <c r="B7412" s="8" t="s">
        <v>195</v>
      </c>
      <c r="C7412" s="8" t="s">
        <v>2273</v>
      </c>
      <c r="D7412" s="8" t="str">
        <f>"9783030472290"</f>
        <v>9783030472290</v>
      </c>
    </row>
    <row r="7413" spans="1:4" x14ac:dyDescent="0.25">
      <c r="A7413" s="7" t="s">
        <v>4804</v>
      </c>
      <c r="B7413" s="8" t="s">
        <v>4805</v>
      </c>
      <c r="C7413" s="8" t="s">
        <v>562</v>
      </c>
      <c r="D7413" s="8" t="str">
        <f>"9781478007319"</f>
        <v>9781478007319</v>
      </c>
    </row>
    <row r="7414" spans="1:4" ht="30" x14ac:dyDescent="0.25">
      <c r="A7414" s="7" t="s">
        <v>5041</v>
      </c>
      <c r="B7414" s="8" t="s">
        <v>5042</v>
      </c>
      <c r="C7414" s="8" t="s">
        <v>355</v>
      </c>
      <c r="D7414" s="8" t="str">
        <f>"9783110660784"</f>
        <v>9783110660784</v>
      </c>
    </row>
    <row r="7415" spans="1:4" x14ac:dyDescent="0.25">
      <c r="A7415" s="7" t="s">
        <v>5380</v>
      </c>
      <c r="B7415" s="8" t="s">
        <v>5381</v>
      </c>
      <c r="C7415" s="8" t="s">
        <v>329</v>
      </c>
      <c r="D7415" s="8" t="str">
        <f>"9789048532117"</f>
        <v>9789048532117</v>
      </c>
    </row>
    <row r="7416" spans="1:4" x14ac:dyDescent="0.25">
      <c r="A7416" s="7" t="s">
        <v>4024</v>
      </c>
      <c r="B7416" s="8" t="s">
        <v>55</v>
      </c>
      <c r="C7416" s="8" t="s">
        <v>355</v>
      </c>
      <c r="D7416" s="8" t="str">
        <f>"9783110536638"</f>
        <v>9783110536638</v>
      </c>
    </row>
    <row r="7417" spans="1:4" x14ac:dyDescent="0.25">
      <c r="A7417" s="7" t="s">
        <v>6706</v>
      </c>
      <c r="B7417" s="8" t="s">
        <v>6708</v>
      </c>
      <c r="C7417" s="8" t="s">
        <v>6707</v>
      </c>
      <c r="D7417" s="8" t="str">
        <f>"9780472902125"</f>
        <v>9780472902125</v>
      </c>
    </row>
    <row r="7418" spans="1:4" x14ac:dyDescent="0.25">
      <c r="A7418" s="7" t="s">
        <v>580</v>
      </c>
      <c r="B7418" s="8" t="s">
        <v>581</v>
      </c>
      <c r="C7418" s="8" t="s">
        <v>562</v>
      </c>
      <c r="D7418" s="8" t="str">
        <f>"9780822390701"</f>
        <v>9780822390701</v>
      </c>
    </row>
    <row r="7419" spans="1:4" x14ac:dyDescent="0.25">
      <c r="A7419" s="7" t="s">
        <v>242</v>
      </c>
      <c r="B7419" s="8" t="s">
        <v>243</v>
      </c>
      <c r="C7419" s="8" t="s">
        <v>227</v>
      </c>
      <c r="D7419" s="8" t="str">
        <f>"9781847790453"</f>
        <v>9781847790453</v>
      </c>
    </row>
    <row r="7420" spans="1:4" ht="30" x14ac:dyDescent="0.25">
      <c r="A7420" s="7" t="s">
        <v>4818</v>
      </c>
      <c r="B7420" s="8" t="s">
        <v>4819</v>
      </c>
      <c r="C7420" s="8" t="s">
        <v>1879</v>
      </c>
      <c r="D7420" s="8" t="str">
        <f>"9781783747931"</f>
        <v>9781783747931</v>
      </c>
    </row>
    <row r="7421" spans="1:4" x14ac:dyDescent="0.25">
      <c r="A7421" s="7" t="s">
        <v>7384</v>
      </c>
      <c r="B7421" s="8" t="s">
        <v>7385</v>
      </c>
      <c r="C7421" s="8" t="s">
        <v>329</v>
      </c>
      <c r="D7421" s="8" t="str">
        <f>"9789048542079"</f>
        <v>9789048542079</v>
      </c>
    </row>
    <row r="7422" spans="1:4" x14ac:dyDescent="0.25">
      <c r="A7422" s="7" t="s">
        <v>6560</v>
      </c>
      <c r="B7422" s="8" t="s">
        <v>6561</v>
      </c>
      <c r="C7422" s="8" t="s">
        <v>2273</v>
      </c>
      <c r="D7422" s="8" t="str">
        <f>"9783030636937"</f>
        <v>9783030636937</v>
      </c>
    </row>
    <row r="7423" spans="1:4" x14ac:dyDescent="0.25">
      <c r="A7423" s="7" t="s">
        <v>3279</v>
      </c>
      <c r="B7423" s="8" t="s">
        <v>3280</v>
      </c>
      <c r="C7423" s="8" t="s">
        <v>329</v>
      </c>
      <c r="D7423" s="8" t="str">
        <f>"9789048531011"</f>
        <v>9789048531011</v>
      </c>
    </row>
    <row r="7424" spans="1:4" x14ac:dyDescent="0.25">
      <c r="A7424" s="7" t="s">
        <v>3427</v>
      </c>
      <c r="B7424" s="8" t="s">
        <v>3428</v>
      </c>
      <c r="C7424" s="8" t="s">
        <v>1036</v>
      </c>
      <c r="D7424" s="8" t="str">
        <f>"9789027264503"</f>
        <v>9789027264503</v>
      </c>
    </row>
    <row r="7425" spans="1:4" x14ac:dyDescent="0.25">
      <c r="A7425" s="7" t="s">
        <v>8158</v>
      </c>
      <c r="B7425" s="8" t="s">
        <v>8159</v>
      </c>
      <c r="C7425" s="8" t="s">
        <v>993</v>
      </c>
      <c r="D7425" s="8" t="str">
        <f>"9783839443033"</f>
        <v>9783839443033</v>
      </c>
    </row>
    <row r="7426" spans="1:4" x14ac:dyDescent="0.25">
      <c r="A7426" s="7" t="s">
        <v>651</v>
      </c>
      <c r="B7426" s="8" t="s">
        <v>652</v>
      </c>
      <c r="C7426" s="8" t="s">
        <v>562</v>
      </c>
      <c r="D7426" s="8" t="str">
        <f>"9780822395485"</f>
        <v>9780822395485</v>
      </c>
    </row>
    <row r="7427" spans="1:4" x14ac:dyDescent="0.25">
      <c r="A7427" s="7" t="s">
        <v>8148</v>
      </c>
      <c r="B7427" s="8" t="s">
        <v>8149</v>
      </c>
      <c r="C7427" s="8" t="s">
        <v>993</v>
      </c>
      <c r="D7427" s="8" t="str">
        <f>"9783839447192"</f>
        <v>9783839447192</v>
      </c>
    </row>
    <row r="7428" spans="1:4" x14ac:dyDescent="0.25">
      <c r="A7428" s="7" t="s">
        <v>5203</v>
      </c>
      <c r="B7428" s="8" t="s">
        <v>5204</v>
      </c>
      <c r="C7428" s="8" t="s">
        <v>2273</v>
      </c>
      <c r="D7428" s="8" t="str">
        <f>"9783030499204"</f>
        <v>9783030499204</v>
      </c>
    </row>
    <row r="7429" spans="1:4" x14ac:dyDescent="0.25">
      <c r="A7429" s="7" t="s">
        <v>1021</v>
      </c>
      <c r="B7429" s="8" t="s">
        <v>1022</v>
      </c>
      <c r="C7429" s="8" t="s">
        <v>355</v>
      </c>
      <c r="D7429" s="8" t="str">
        <f>"9783110440027"</f>
        <v>9783110440027</v>
      </c>
    </row>
    <row r="7430" spans="1:4" x14ac:dyDescent="0.25">
      <c r="A7430" s="7" t="s">
        <v>14363</v>
      </c>
      <c r="B7430" s="8" t="s">
        <v>4303</v>
      </c>
      <c r="C7430" s="8" t="s">
        <v>1879</v>
      </c>
      <c r="D7430" s="8" t="str">
        <f>"9781800642386"</f>
        <v>9781800642386</v>
      </c>
    </row>
    <row r="7431" spans="1:4" x14ac:dyDescent="0.25">
      <c r="A7431" s="7" t="s">
        <v>588</v>
      </c>
      <c r="B7431" s="8" t="s">
        <v>589</v>
      </c>
      <c r="C7431" s="8" t="s">
        <v>562</v>
      </c>
      <c r="D7431" s="8" t="str">
        <f>"9780822390862"</f>
        <v>9780822390862</v>
      </c>
    </row>
    <row r="7432" spans="1:4" x14ac:dyDescent="0.25">
      <c r="A7432" s="7" t="s">
        <v>1898</v>
      </c>
      <c r="B7432" s="8" t="s">
        <v>1899</v>
      </c>
      <c r="C7432" s="8" t="s">
        <v>1879</v>
      </c>
      <c r="D7432" s="8" t="str">
        <f>"9781906924478"</f>
        <v>9781906924478</v>
      </c>
    </row>
    <row r="7433" spans="1:4" x14ac:dyDescent="0.25">
      <c r="A7433" s="7" t="s">
        <v>3798</v>
      </c>
      <c r="B7433" s="8" t="s">
        <v>3799</v>
      </c>
      <c r="C7433" s="8" t="s">
        <v>1036</v>
      </c>
      <c r="D7433" s="8" t="str">
        <f>"9789027264022"</f>
        <v>9789027264022</v>
      </c>
    </row>
    <row r="7434" spans="1:4" x14ac:dyDescent="0.25">
      <c r="A7434" s="7" t="s">
        <v>8731</v>
      </c>
      <c r="B7434" s="8" t="s">
        <v>8732</v>
      </c>
      <c r="C7434" s="8" t="s">
        <v>4245</v>
      </c>
      <c r="D7434" s="8" t="str">
        <f>"9789811665066"</f>
        <v>9789811665066</v>
      </c>
    </row>
    <row r="7435" spans="1:4" ht="30" x14ac:dyDescent="0.25">
      <c r="A7435" s="7" t="s">
        <v>10872</v>
      </c>
      <c r="B7435" s="8" t="s">
        <v>10873</v>
      </c>
      <c r="C7435" s="8" t="s">
        <v>2273</v>
      </c>
      <c r="D7435" s="8" t="str">
        <f>"9783030946913"</f>
        <v>9783030946913</v>
      </c>
    </row>
    <row r="7436" spans="1:4" x14ac:dyDescent="0.25">
      <c r="A7436" s="7" t="s">
        <v>10948</v>
      </c>
      <c r="B7436" s="8" t="s">
        <v>10949</v>
      </c>
      <c r="C7436" s="8" t="s">
        <v>9138</v>
      </c>
      <c r="D7436" s="8" t="str">
        <f>"9780520972179"</f>
        <v>9780520972179</v>
      </c>
    </row>
    <row r="7437" spans="1:4" x14ac:dyDescent="0.25">
      <c r="A7437" s="7" t="s">
        <v>14766</v>
      </c>
      <c r="B7437" s="8" t="s">
        <v>14767</v>
      </c>
      <c r="C7437" s="8" t="s">
        <v>1865</v>
      </c>
      <c r="D7437" s="8" t="str">
        <f>"9789175199375"</f>
        <v>9789175199375</v>
      </c>
    </row>
    <row r="7438" spans="1:4" x14ac:dyDescent="0.25">
      <c r="A7438" s="7" t="s">
        <v>15814</v>
      </c>
      <c r="B7438" s="8" t="s">
        <v>15815</v>
      </c>
      <c r="C7438" s="8" t="s">
        <v>1865</v>
      </c>
      <c r="D7438" s="8" t="str">
        <f>"9789175197661"</f>
        <v>9789175197661</v>
      </c>
    </row>
    <row r="7439" spans="1:4" ht="30" x14ac:dyDescent="0.25">
      <c r="A7439" s="7" t="s">
        <v>4255</v>
      </c>
      <c r="B7439" s="8" t="s">
        <v>4256</v>
      </c>
      <c r="C7439" s="8" t="s">
        <v>329</v>
      </c>
      <c r="D7439" s="8" t="str">
        <f>"9789048533381"</f>
        <v>9789048533381</v>
      </c>
    </row>
    <row r="7440" spans="1:4" x14ac:dyDescent="0.25">
      <c r="A7440" s="7" t="s">
        <v>14731</v>
      </c>
      <c r="B7440" s="8" t="s">
        <v>14732</v>
      </c>
      <c r="C7440" s="8" t="s">
        <v>1865</v>
      </c>
      <c r="D7440" s="8" t="str">
        <f>"9789173932677"</f>
        <v>9789173932677</v>
      </c>
    </row>
    <row r="7441" spans="1:4" ht="30" x14ac:dyDescent="0.25">
      <c r="A7441" s="7" t="s">
        <v>8828</v>
      </c>
      <c r="B7441" s="8" t="s">
        <v>8829</v>
      </c>
      <c r="C7441" s="8" t="s">
        <v>8805</v>
      </c>
      <c r="D7441" s="8" t="str">
        <f>"9781934831083"</f>
        <v>9781934831083</v>
      </c>
    </row>
    <row r="7442" spans="1:4" x14ac:dyDescent="0.25">
      <c r="A7442" s="7" t="s">
        <v>9076</v>
      </c>
      <c r="B7442" s="8" t="s">
        <v>9077</v>
      </c>
      <c r="C7442" s="8" t="s">
        <v>2273</v>
      </c>
      <c r="D7442" s="8" t="str">
        <f>"9783030943530"</f>
        <v>9783030943530</v>
      </c>
    </row>
    <row r="7443" spans="1:4" ht="30" x14ac:dyDescent="0.25">
      <c r="A7443" s="7" t="s">
        <v>5768</v>
      </c>
      <c r="B7443" s="8" t="s">
        <v>5769</v>
      </c>
      <c r="C7443" s="8" t="s">
        <v>5086</v>
      </c>
      <c r="D7443" s="8" t="str">
        <f>"9783658195069"</f>
        <v>9783658195069</v>
      </c>
    </row>
    <row r="7444" spans="1:4" x14ac:dyDescent="0.25">
      <c r="A7444" s="7" t="s">
        <v>5424</v>
      </c>
      <c r="B7444" s="8" t="s">
        <v>5425</v>
      </c>
      <c r="C7444" s="8" t="s">
        <v>2273</v>
      </c>
      <c r="D7444" s="8" t="str">
        <f>"9783030523916"</f>
        <v>9783030523916</v>
      </c>
    </row>
    <row r="7445" spans="1:4" x14ac:dyDescent="0.25">
      <c r="A7445" s="7" t="s">
        <v>7816</v>
      </c>
      <c r="B7445" s="8" t="s">
        <v>7817</v>
      </c>
      <c r="C7445" s="8" t="s">
        <v>5228</v>
      </c>
      <c r="D7445" s="8" t="str">
        <f>"9781137378477"</f>
        <v>9781137378477</v>
      </c>
    </row>
    <row r="7446" spans="1:4" x14ac:dyDescent="0.25">
      <c r="A7446" s="7" t="s">
        <v>5181</v>
      </c>
      <c r="B7446" s="8" t="s">
        <v>5182</v>
      </c>
      <c r="C7446" s="8" t="s">
        <v>2273</v>
      </c>
      <c r="D7446" s="8" t="str">
        <f>"9783030484859"</f>
        <v>9783030484859</v>
      </c>
    </row>
    <row r="7447" spans="1:4" x14ac:dyDescent="0.25">
      <c r="A7447" s="7" t="s">
        <v>6711</v>
      </c>
      <c r="B7447" s="8" t="s">
        <v>6712</v>
      </c>
      <c r="C7447" s="8" t="s">
        <v>6707</v>
      </c>
      <c r="D7447" s="8" t="str">
        <f>"9780472902200"</f>
        <v>9780472902200</v>
      </c>
    </row>
    <row r="7448" spans="1:4" x14ac:dyDescent="0.25">
      <c r="A7448" s="7" t="s">
        <v>15683</v>
      </c>
      <c r="B7448" s="8" t="s">
        <v>15684</v>
      </c>
      <c r="C7448" s="8" t="s">
        <v>1865</v>
      </c>
      <c r="D7448" s="8" t="str">
        <f>"9789175199504"</f>
        <v>9789175199504</v>
      </c>
    </row>
    <row r="7449" spans="1:4" x14ac:dyDescent="0.25">
      <c r="A7449" s="7" t="s">
        <v>9509</v>
      </c>
      <c r="B7449" s="8" t="s">
        <v>9510</v>
      </c>
      <c r="C7449" s="8" t="s">
        <v>1865</v>
      </c>
      <c r="D7449" s="8" t="str">
        <f>"9789179291563"</f>
        <v>9789179291563</v>
      </c>
    </row>
    <row r="7450" spans="1:4" ht="30" x14ac:dyDescent="0.25">
      <c r="A7450" s="7" t="s">
        <v>4687</v>
      </c>
      <c r="B7450" s="8" t="s">
        <v>4688</v>
      </c>
      <c r="C7450" s="8" t="s">
        <v>1865</v>
      </c>
      <c r="D7450" s="8" t="str">
        <f>"9789179299637"</f>
        <v>9789179299637</v>
      </c>
    </row>
    <row r="7451" spans="1:4" x14ac:dyDescent="0.25">
      <c r="A7451" s="7" t="s">
        <v>7325</v>
      </c>
      <c r="B7451" s="8" t="s">
        <v>73</v>
      </c>
      <c r="C7451" s="8" t="s">
        <v>2273</v>
      </c>
      <c r="D7451" s="8" t="str">
        <f>"9783030681760"</f>
        <v>9783030681760</v>
      </c>
    </row>
    <row r="7452" spans="1:4" x14ac:dyDescent="0.25">
      <c r="A7452" s="7" t="s">
        <v>10950</v>
      </c>
      <c r="B7452" s="8" t="s">
        <v>10951</v>
      </c>
      <c r="C7452" s="8" t="s">
        <v>9138</v>
      </c>
      <c r="D7452" s="8" t="str">
        <f>"9780520973749"</f>
        <v>9780520973749</v>
      </c>
    </row>
    <row r="7453" spans="1:4" x14ac:dyDescent="0.25">
      <c r="A7453" s="7" t="s">
        <v>5036</v>
      </c>
      <c r="B7453" s="8" t="s">
        <v>3873</v>
      </c>
      <c r="C7453" s="8" t="s">
        <v>355</v>
      </c>
      <c r="D7453" s="8" t="str">
        <f>"9783110645989"</f>
        <v>9783110645989</v>
      </c>
    </row>
    <row r="7454" spans="1:4" x14ac:dyDescent="0.25">
      <c r="A7454" s="7" t="s">
        <v>12394</v>
      </c>
      <c r="B7454" s="8" t="s">
        <v>12395</v>
      </c>
      <c r="C7454" s="8" t="s">
        <v>2273</v>
      </c>
      <c r="D7454" s="8" t="str">
        <f>"9783031037993"</f>
        <v>9783031037993</v>
      </c>
    </row>
    <row r="7455" spans="1:4" x14ac:dyDescent="0.25">
      <c r="A7455" s="7" t="s">
        <v>2956</v>
      </c>
      <c r="B7455" s="8" t="s">
        <v>2957</v>
      </c>
      <c r="C7455" s="8" t="s">
        <v>227</v>
      </c>
      <c r="D7455" s="8" t="str">
        <f>"9781526111975"</f>
        <v>9781526111975</v>
      </c>
    </row>
    <row r="7456" spans="1:4" x14ac:dyDescent="0.25">
      <c r="A7456" s="7" t="s">
        <v>1887</v>
      </c>
      <c r="B7456" s="8" t="s">
        <v>40</v>
      </c>
      <c r="C7456" s="8" t="s">
        <v>1879</v>
      </c>
      <c r="D7456" s="8" t="str">
        <f>"9781906924294"</f>
        <v>9781906924294</v>
      </c>
    </row>
    <row r="7457" spans="1:4" x14ac:dyDescent="0.25">
      <c r="A7457" s="7" t="s">
        <v>293</v>
      </c>
      <c r="B7457" s="8" t="s">
        <v>294</v>
      </c>
      <c r="C7457" s="8" t="s">
        <v>227</v>
      </c>
      <c r="D7457" s="8" t="str">
        <f>"9781847790361"</f>
        <v>9781847790361</v>
      </c>
    </row>
    <row r="7458" spans="1:4" x14ac:dyDescent="0.25">
      <c r="A7458" s="7" t="s">
        <v>1908</v>
      </c>
      <c r="B7458" s="8" t="s">
        <v>1909</v>
      </c>
      <c r="C7458" s="8" t="s">
        <v>1879</v>
      </c>
      <c r="D7458" s="8" t="str">
        <f>"9781906924522"</f>
        <v>9781906924522</v>
      </c>
    </row>
    <row r="7459" spans="1:4" ht="30" x14ac:dyDescent="0.25">
      <c r="A7459" s="7" t="s">
        <v>9144</v>
      </c>
      <c r="B7459" s="8" t="s">
        <v>9145</v>
      </c>
      <c r="C7459" s="8" t="s">
        <v>9138</v>
      </c>
      <c r="D7459" s="8" t="str">
        <f>"9780520380608"</f>
        <v>9780520380608</v>
      </c>
    </row>
    <row r="7460" spans="1:4" x14ac:dyDescent="0.25">
      <c r="A7460" s="7" t="s">
        <v>1302</v>
      </c>
      <c r="B7460" s="8" t="s">
        <v>1303</v>
      </c>
      <c r="C7460" s="8" t="s">
        <v>1224</v>
      </c>
      <c r="D7460" s="8" t="str">
        <f>"9781618116925"</f>
        <v>9781618116925</v>
      </c>
    </row>
    <row r="7461" spans="1:4" x14ac:dyDescent="0.25">
      <c r="A7461" s="7" t="s">
        <v>394</v>
      </c>
      <c r="B7461" s="8" t="s">
        <v>395</v>
      </c>
      <c r="C7461" s="8" t="s">
        <v>227</v>
      </c>
      <c r="D7461" s="8" t="str">
        <f>"9781847790903"</f>
        <v>9781847790903</v>
      </c>
    </row>
    <row r="7462" spans="1:4" ht="30" x14ac:dyDescent="0.25">
      <c r="A7462" s="7" t="s">
        <v>2679</v>
      </c>
      <c r="B7462" s="8" t="s">
        <v>2680</v>
      </c>
      <c r="C7462" s="8" t="s">
        <v>1879</v>
      </c>
      <c r="D7462" s="8" t="str">
        <f>"9781783742455"</f>
        <v>9781783742455</v>
      </c>
    </row>
    <row r="7463" spans="1:4" ht="30" x14ac:dyDescent="0.25">
      <c r="A7463" s="7" t="s">
        <v>16184</v>
      </c>
      <c r="B7463" s="8" t="s">
        <v>16185</v>
      </c>
      <c r="C7463" s="8" t="s">
        <v>1865</v>
      </c>
      <c r="D7463" s="8" t="str">
        <f>"9789175199870"</f>
        <v>9789175199870</v>
      </c>
    </row>
    <row r="7464" spans="1:4" x14ac:dyDescent="0.25">
      <c r="A7464" s="7" t="s">
        <v>7191</v>
      </c>
      <c r="B7464" s="8" t="s">
        <v>7192</v>
      </c>
      <c r="C7464" s="8" t="s">
        <v>355</v>
      </c>
      <c r="D7464" s="8" t="str">
        <f>"9783110691504"</f>
        <v>9783110691504</v>
      </c>
    </row>
    <row r="7465" spans="1:4" ht="60" x14ac:dyDescent="0.25">
      <c r="A7465" s="7" t="s">
        <v>968</v>
      </c>
      <c r="B7465" s="8" t="s">
        <v>969</v>
      </c>
      <c r="C7465" s="8" t="s">
        <v>316</v>
      </c>
      <c r="D7465" s="8" t="str">
        <f>"9783110977899"</f>
        <v>9783110977899</v>
      </c>
    </row>
    <row r="7466" spans="1:4" x14ac:dyDescent="0.25">
      <c r="A7466" s="7" t="s">
        <v>4531</v>
      </c>
      <c r="B7466" s="8" t="s">
        <v>4532</v>
      </c>
      <c r="C7466" s="8" t="s">
        <v>1879</v>
      </c>
      <c r="D7466" s="8" t="str">
        <f>"9781783747016"</f>
        <v>9781783747016</v>
      </c>
    </row>
    <row r="7467" spans="1:4" x14ac:dyDescent="0.25">
      <c r="A7467" s="7" t="s">
        <v>8811</v>
      </c>
      <c r="B7467" s="8" t="s">
        <v>8812</v>
      </c>
      <c r="C7467" s="8" t="s">
        <v>8805</v>
      </c>
      <c r="D7467" s="8" t="str">
        <f>"9781934831243"</f>
        <v>9781934831243</v>
      </c>
    </row>
    <row r="7468" spans="1:4" ht="30" x14ac:dyDescent="0.25">
      <c r="A7468" s="7" t="s">
        <v>12680</v>
      </c>
      <c r="B7468" s="8" t="s">
        <v>12681</v>
      </c>
      <c r="C7468" s="8" t="s">
        <v>2273</v>
      </c>
      <c r="D7468" s="8" t="str">
        <f>"9783031127144"</f>
        <v>9783031127144</v>
      </c>
    </row>
    <row r="7469" spans="1:4" x14ac:dyDescent="0.25">
      <c r="A7469" s="7" t="s">
        <v>5211</v>
      </c>
      <c r="B7469" s="8" t="s">
        <v>5212</v>
      </c>
      <c r="C7469" s="8" t="s">
        <v>1865</v>
      </c>
      <c r="D7469" s="8" t="str">
        <f>"9789179297978"</f>
        <v>9789179297978</v>
      </c>
    </row>
    <row r="7470" spans="1:4" ht="30" x14ac:dyDescent="0.25">
      <c r="A7470" s="7" t="s">
        <v>5850</v>
      </c>
      <c r="B7470" s="8" t="s">
        <v>5851</v>
      </c>
      <c r="C7470" s="8" t="s">
        <v>2273</v>
      </c>
      <c r="D7470" s="8" t="str">
        <f>"9783319483634"</f>
        <v>9783319483634</v>
      </c>
    </row>
    <row r="7471" spans="1:4" x14ac:dyDescent="0.25">
      <c r="A7471" s="7" t="s">
        <v>6180</v>
      </c>
      <c r="B7471" s="8" t="s">
        <v>6181</v>
      </c>
      <c r="C7471" s="8" t="s">
        <v>2273</v>
      </c>
      <c r="D7471" s="8" t="str">
        <f>"9783030043636"</f>
        <v>9783030043636</v>
      </c>
    </row>
    <row r="7472" spans="1:4" ht="30" x14ac:dyDescent="0.25">
      <c r="A7472" s="7" t="s">
        <v>5665</v>
      </c>
      <c r="B7472" s="8" t="s">
        <v>5666</v>
      </c>
      <c r="C7472" s="8" t="s">
        <v>2273</v>
      </c>
      <c r="D7472" s="8" t="str">
        <f>"9783319635910"</f>
        <v>9783319635910</v>
      </c>
    </row>
    <row r="7473" spans="1:4" x14ac:dyDescent="0.25">
      <c r="A7473" s="7" t="s">
        <v>2623</v>
      </c>
      <c r="B7473" s="8" t="s">
        <v>2624</v>
      </c>
      <c r="C7473" s="8" t="s">
        <v>355</v>
      </c>
      <c r="D7473" s="8" t="str">
        <f>"9783110469592"</f>
        <v>9783110469592</v>
      </c>
    </row>
    <row r="7474" spans="1:4" x14ac:dyDescent="0.25">
      <c r="A7474" s="7" t="s">
        <v>5794</v>
      </c>
      <c r="B7474" s="8" t="s">
        <v>5279</v>
      </c>
      <c r="C7474" s="8" t="s">
        <v>2273</v>
      </c>
      <c r="D7474" s="8" t="str">
        <f>"9783319208770"</f>
        <v>9783319208770</v>
      </c>
    </row>
    <row r="7475" spans="1:4" x14ac:dyDescent="0.25">
      <c r="A7475" s="7" t="s">
        <v>13574</v>
      </c>
      <c r="B7475" s="8" t="s">
        <v>6976</v>
      </c>
      <c r="C7475" s="8" t="s">
        <v>2274</v>
      </c>
      <c r="D7475" s="8" t="str">
        <f>"9789811972812"</f>
        <v>9789811972812</v>
      </c>
    </row>
    <row r="7476" spans="1:4" ht="30" x14ac:dyDescent="0.25">
      <c r="A7476" s="7" t="s">
        <v>6368</v>
      </c>
      <c r="B7476" s="8" t="s">
        <v>6369</v>
      </c>
      <c r="C7476" s="8" t="s">
        <v>2273</v>
      </c>
      <c r="D7476" s="8" t="str">
        <f>"9783030599515"</f>
        <v>9783030599515</v>
      </c>
    </row>
    <row r="7477" spans="1:4" x14ac:dyDescent="0.25">
      <c r="A7477" s="7" t="s">
        <v>12018</v>
      </c>
      <c r="B7477" s="8" t="s">
        <v>12019</v>
      </c>
      <c r="C7477" s="8" t="s">
        <v>355</v>
      </c>
      <c r="D7477" s="8" t="str">
        <f>"9783110749823"</f>
        <v>9783110749823</v>
      </c>
    </row>
    <row r="7478" spans="1:4" ht="30" x14ac:dyDescent="0.25">
      <c r="A7478" s="7" t="s">
        <v>12525</v>
      </c>
      <c r="B7478" s="8" t="s">
        <v>12526</v>
      </c>
      <c r="C7478" s="8" t="s">
        <v>355</v>
      </c>
      <c r="D7478" s="8" t="str">
        <f>"9783110784695"</f>
        <v>9783110784695</v>
      </c>
    </row>
    <row r="7479" spans="1:4" x14ac:dyDescent="0.25">
      <c r="A7479" s="7" t="s">
        <v>9454</v>
      </c>
      <c r="B7479" s="8" t="s">
        <v>9455</v>
      </c>
      <c r="C7479" s="8" t="s">
        <v>9256</v>
      </c>
      <c r="D7479" s="8" t="str">
        <f>"9788021099920"</f>
        <v>9788021099920</v>
      </c>
    </row>
    <row r="7480" spans="1:4" x14ac:dyDescent="0.25">
      <c r="A7480" s="7" t="s">
        <v>1023</v>
      </c>
      <c r="B7480" s="8" t="s">
        <v>1024</v>
      </c>
      <c r="C7480" s="8" t="s">
        <v>355</v>
      </c>
      <c r="D7480" s="8" t="str">
        <f>"9783110440287"</f>
        <v>9783110440287</v>
      </c>
    </row>
    <row r="7481" spans="1:4" x14ac:dyDescent="0.25">
      <c r="A7481" s="7" t="s">
        <v>14892</v>
      </c>
      <c r="B7481" s="8" t="s">
        <v>14893</v>
      </c>
      <c r="C7481" s="8" t="s">
        <v>1865</v>
      </c>
      <c r="D7481" s="8" t="str">
        <f>"9789176857397"</f>
        <v>9789176857397</v>
      </c>
    </row>
    <row r="7482" spans="1:4" ht="30" x14ac:dyDescent="0.25">
      <c r="A7482" s="7" t="s">
        <v>9458</v>
      </c>
      <c r="B7482" s="8" t="s">
        <v>9459</v>
      </c>
      <c r="C7482" s="8" t="s">
        <v>9256</v>
      </c>
      <c r="D7482" s="8" t="str">
        <f>"9788021099975"</f>
        <v>9788021099975</v>
      </c>
    </row>
    <row r="7483" spans="1:4" ht="30" x14ac:dyDescent="0.25">
      <c r="A7483" s="7" t="s">
        <v>2086</v>
      </c>
      <c r="B7483" s="8" t="s">
        <v>2087</v>
      </c>
      <c r="C7483" s="8" t="s">
        <v>1224</v>
      </c>
      <c r="D7483" s="8" t="str">
        <f>"9781618112859"</f>
        <v>9781618112859</v>
      </c>
    </row>
    <row r="7484" spans="1:4" ht="30" x14ac:dyDescent="0.25">
      <c r="A7484" s="7" t="s">
        <v>11965</v>
      </c>
      <c r="B7484" s="8" t="s">
        <v>11966</v>
      </c>
      <c r="C7484" s="8" t="s">
        <v>355</v>
      </c>
      <c r="D7484" s="8" t="str">
        <f>"9783110655575"</f>
        <v>9783110655575</v>
      </c>
    </row>
    <row r="7485" spans="1:4" x14ac:dyDescent="0.25">
      <c r="A7485" s="7" t="s">
        <v>4503</v>
      </c>
      <c r="B7485" s="8" t="s">
        <v>4504</v>
      </c>
      <c r="C7485" s="8" t="s">
        <v>562</v>
      </c>
      <c r="D7485" s="8" t="str">
        <f>"9781478003427"</f>
        <v>9781478003427</v>
      </c>
    </row>
    <row r="7486" spans="1:4" ht="30" x14ac:dyDescent="0.25">
      <c r="A7486" s="7" t="s">
        <v>16102</v>
      </c>
      <c r="B7486" s="8" t="s">
        <v>16103</v>
      </c>
      <c r="C7486" s="8" t="s">
        <v>1865</v>
      </c>
      <c r="D7486" s="8" t="str">
        <f>"9789175196855"</f>
        <v>9789175196855</v>
      </c>
    </row>
    <row r="7487" spans="1:4" ht="30" x14ac:dyDescent="0.25">
      <c r="A7487" s="7" t="s">
        <v>8007</v>
      </c>
      <c r="B7487" s="8" t="s">
        <v>7988</v>
      </c>
      <c r="C7487" s="8" t="s">
        <v>1962</v>
      </c>
      <c r="D7487" s="8" t="str">
        <f>"9782759232802"</f>
        <v>9782759232802</v>
      </c>
    </row>
    <row r="7488" spans="1:4" x14ac:dyDescent="0.25">
      <c r="A7488" s="7" t="s">
        <v>392</v>
      </c>
      <c r="B7488" s="8" t="s">
        <v>393</v>
      </c>
      <c r="C7488" s="8" t="s">
        <v>227</v>
      </c>
      <c r="D7488" s="8" t="str">
        <f>"9781847790743"</f>
        <v>9781847790743</v>
      </c>
    </row>
    <row r="7489" spans="1:4" ht="30" x14ac:dyDescent="0.25">
      <c r="A7489" s="7" t="s">
        <v>9170</v>
      </c>
      <c r="B7489" s="8" t="s">
        <v>2380</v>
      </c>
      <c r="C7489" s="8" t="s">
        <v>1879</v>
      </c>
      <c r="D7489" s="8" t="str">
        <f>"9781800641907"</f>
        <v>9781800641907</v>
      </c>
    </row>
    <row r="7490" spans="1:4" x14ac:dyDescent="0.25">
      <c r="A7490" s="7" t="s">
        <v>396</v>
      </c>
      <c r="B7490" s="8" t="s">
        <v>397</v>
      </c>
      <c r="C7490" s="8" t="s">
        <v>227</v>
      </c>
      <c r="D7490" s="8" t="str">
        <f>"9781847790781"</f>
        <v>9781847790781</v>
      </c>
    </row>
    <row r="7491" spans="1:4" ht="30" x14ac:dyDescent="0.25">
      <c r="A7491" s="7" t="s">
        <v>11651</v>
      </c>
      <c r="B7491" s="8" t="s">
        <v>11652</v>
      </c>
      <c r="C7491" s="8" t="s">
        <v>355</v>
      </c>
      <c r="D7491" s="8" t="str">
        <f>"9783110709834"</f>
        <v>9783110709834</v>
      </c>
    </row>
    <row r="7492" spans="1:4" x14ac:dyDescent="0.25">
      <c r="A7492" s="7" t="s">
        <v>405</v>
      </c>
      <c r="B7492" s="8" t="s">
        <v>406</v>
      </c>
      <c r="C7492" s="8" t="s">
        <v>227</v>
      </c>
      <c r="D7492" s="8" t="str">
        <f>"9781847790644"</f>
        <v>9781847790644</v>
      </c>
    </row>
    <row r="7493" spans="1:4" x14ac:dyDescent="0.25">
      <c r="A7493" s="7" t="s">
        <v>6673</v>
      </c>
      <c r="B7493" s="8" t="s">
        <v>6674</v>
      </c>
      <c r="C7493" s="8" t="s">
        <v>4245</v>
      </c>
      <c r="D7493" s="8" t="str">
        <f>"9789813347137"</f>
        <v>9789813347137</v>
      </c>
    </row>
    <row r="7494" spans="1:4" x14ac:dyDescent="0.25">
      <c r="A7494" s="7" t="s">
        <v>9148</v>
      </c>
      <c r="B7494" s="8" t="s">
        <v>9149</v>
      </c>
      <c r="C7494" s="8" t="s">
        <v>9138</v>
      </c>
      <c r="D7494" s="8" t="str">
        <f>"9780520381995"</f>
        <v>9780520381995</v>
      </c>
    </row>
    <row r="7495" spans="1:4" ht="30" x14ac:dyDescent="0.25">
      <c r="A7495" s="7" t="s">
        <v>6524</v>
      </c>
      <c r="B7495" s="8" t="s">
        <v>6525</v>
      </c>
      <c r="C7495" s="8" t="s">
        <v>2273</v>
      </c>
      <c r="D7495" s="8" t="str">
        <f>"9783030609146"</f>
        <v>9783030609146</v>
      </c>
    </row>
    <row r="7496" spans="1:4" ht="30" x14ac:dyDescent="0.25">
      <c r="A7496" s="7" t="s">
        <v>6270</v>
      </c>
      <c r="B7496" s="8" t="s">
        <v>89</v>
      </c>
      <c r="C7496" s="8" t="s">
        <v>5134</v>
      </c>
      <c r="D7496" s="8" t="str">
        <f>"9783642208980"</f>
        <v>9783642208980</v>
      </c>
    </row>
    <row r="7497" spans="1:4" x14ac:dyDescent="0.25">
      <c r="A7497" s="7" t="s">
        <v>6113</v>
      </c>
      <c r="B7497" s="8" t="s">
        <v>6114</v>
      </c>
      <c r="C7497" s="8" t="s">
        <v>5134</v>
      </c>
      <c r="D7497" s="8" t="str">
        <f>"9783642302411"</f>
        <v>9783642302411</v>
      </c>
    </row>
    <row r="7498" spans="1:4" x14ac:dyDescent="0.25">
      <c r="A7498" s="7" t="s">
        <v>5717</v>
      </c>
      <c r="B7498" s="8" t="s">
        <v>90</v>
      </c>
      <c r="C7498" s="8" t="s">
        <v>5134</v>
      </c>
      <c r="D7498" s="8" t="str">
        <f>"9783642380822"</f>
        <v>9783642380822</v>
      </c>
    </row>
    <row r="7499" spans="1:4" x14ac:dyDescent="0.25">
      <c r="A7499" s="7" t="s">
        <v>6728</v>
      </c>
      <c r="B7499" s="8" t="s">
        <v>6729</v>
      </c>
      <c r="C7499" s="8" t="s">
        <v>2273</v>
      </c>
      <c r="D7499" s="8" t="str">
        <f>"9783030465902"</f>
        <v>9783030465902</v>
      </c>
    </row>
    <row r="7500" spans="1:4" x14ac:dyDescent="0.25">
      <c r="A7500" s="7" t="s">
        <v>9166</v>
      </c>
      <c r="B7500" s="8" t="s">
        <v>9167</v>
      </c>
      <c r="C7500" s="8" t="s">
        <v>4245</v>
      </c>
      <c r="D7500" s="8" t="str">
        <f>"9789811678301"</f>
        <v>9789811678301</v>
      </c>
    </row>
    <row r="7501" spans="1:4" ht="30" x14ac:dyDescent="0.25">
      <c r="A7501" s="7" t="s">
        <v>6491</v>
      </c>
      <c r="B7501" s="8" t="s">
        <v>6492</v>
      </c>
      <c r="C7501" s="8" t="s">
        <v>4245</v>
      </c>
      <c r="D7501" s="8" t="str">
        <f>"9789813341265"</f>
        <v>9789813341265</v>
      </c>
    </row>
    <row r="7502" spans="1:4" x14ac:dyDescent="0.25">
      <c r="A7502" s="7" t="s">
        <v>6155</v>
      </c>
      <c r="B7502" s="8" t="s">
        <v>6156</v>
      </c>
      <c r="C7502" s="8" t="s">
        <v>2273</v>
      </c>
      <c r="D7502" s="8" t="str">
        <f>"9783030513160"</f>
        <v>9783030513160</v>
      </c>
    </row>
    <row r="7503" spans="1:4" ht="30" x14ac:dyDescent="0.25">
      <c r="A7503" s="7" t="s">
        <v>5726</v>
      </c>
      <c r="B7503" s="8" t="s">
        <v>5727</v>
      </c>
      <c r="C7503" s="8" t="s">
        <v>2273</v>
      </c>
      <c r="D7503" s="8" t="str">
        <f>"9783319512747"</f>
        <v>9783319512747</v>
      </c>
    </row>
    <row r="7504" spans="1:4" x14ac:dyDescent="0.25">
      <c r="A7504" s="7" t="s">
        <v>8783</v>
      </c>
      <c r="B7504" s="8" t="s">
        <v>8784</v>
      </c>
      <c r="C7504" s="8" t="s">
        <v>2273</v>
      </c>
      <c r="D7504" s="8" t="str">
        <f>"9783030853129"</f>
        <v>9783030853129</v>
      </c>
    </row>
    <row r="7505" spans="1:4" x14ac:dyDescent="0.25">
      <c r="A7505" s="7" t="s">
        <v>5256</v>
      </c>
      <c r="B7505" s="8" t="s">
        <v>5257</v>
      </c>
      <c r="C7505" s="8" t="s">
        <v>2273</v>
      </c>
      <c r="D7505" s="8" t="str">
        <f>"9783319272887"</f>
        <v>9783319272887</v>
      </c>
    </row>
    <row r="7506" spans="1:4" x14ac:dyDescent="0.25">
      <c r="A7506" s="7" t="s">
        <v>13619</v>
      </c>
      <c r="B7506" s="8" t="s">
        <v>13620</v>
      </c>
      <c r="C7506" s="8" t="s">
        <v>2273</v>
      </c>
      <c r="D7506" s="8" t="str">
        <f>"9783031167270"</f>
        <v>9783031167270</v>
      </c>
    </row>
    <row r="7507" spans="1:4" x14ac:dyDescent="0.25">
      <c r="A7507" s="7" t="s">
        <v>5301</v>
      </c>
      <c r="B7507" s="8" t="s">
        <v>5302</v>
      </c>
      <c r="C7507" s="8" t="s">
        <v>2273</v>
      </c>
      <c r="D7507" s="8" t="str">
        <f>"9783030390662"</f>
        <v>9783030390662</v>
      </c>
    </row>
    <row r="7508" spans="1:4" ht="30" x14ac:dyDescent="0.25">
      <c r="A7508" s="7" t="s">
        <v>7358</v>
      </c>
      <c r="B7508" s="8" t="s">
        <v>7359</v>
      </c>
      <c r="C7508" s="8" t="s">
        <v>2273</v>
      </c>
      <c r="D7508" s="8" t="str">
        <f>"9783030707996"</f>
        <v>9783030707996</v>
      </c>
    </row>
    <row r="7509" spans="1:4" x14ac:dyDescent="0.25">
      <c r="A7509" s="7" t="s">
        <v>524</v>
      </c>
      <c r="B7509" s="8" t="s">
        <v>353</v>
      </c>
      <c r="C7509" s="8" t="s">
        <v>316</v>
      </c>
      <c r="D7509" s="8" t="str">
        <f>"9783110298871"</f>
        <v>9783110298871</v>
      </c>
    </row>
    <row r="7510" spans="1:4" ht="30" x14ac:dyDescent="0.25">
      <c r="A7510" s="7" t="s">
        <v>1058</v>
      </c>
      <c r="B7510" s="8" t="s">
        <v>1059</v>
      </c>
      <c r="C7510" s="8" t="s">
        <v>316</v>
      </c>
      <c r="D7510" s="8" t="str">
        <f>"9783110928921"</f>
        <v>9783110928921</v>
      </c>
    </row>
    <row r="7511" spans="1:4" ht="30" x14ac:dyDescent="0.25">
      <c r="A7511" s="7" t="s">
        <v>6825</v>
      </c>
      <c r="B7511" s="8" t="s">
        <v>6826</v>
      </c>
      <c r="C7511" s="8" t="s">
        <v>2273</v>
      </c>
      <c r="D7511" s="8" t="str">
        <f>"9783030674984"</f>
        <v>9783030674984</v>
      </c>
    </row>
    <row r="7512" spans="1:4" x14ac:dyDescent="0.25">
      <c r="A7512" s="7" t="s">
        <v>6131</v>
      </c>
      <c r="B7512" s="8" t="s">
        <v>6132</v>
      </c>
      <c r="C7512" s="8" t="s">
        <v>2273</v>
      </c>
      <c r="D7512" s="8" t="str">
        <f>"9783319715322"</f>
        <v>9783319715322</v>
      </c>
    </row>
    <row r="7513" spans="1:4" x14ac:dyDescent="0.25">
      <c r="A7513" s="7" t="s">
        <v>1246</v>
      </c>
      <c r="B7513" s="8" t="s">
        <v>1247</v>
      </c>
      <c r="C7513" s="8" t="s">
        <v>1224</v>
      </c>
      <c r="D7513" s="8" t="str">
        <f>"9781618117069"</f>
        <v>9781618117069</v>
      </c>
    </row>
    <row r="7514" spans="1:4" ht="30" x14ac:dyDescent="0.25">
      <c r="A7514" s="7" t="s">
        <v>11842</v>
      </c>
      <c r="B7514" s="8" t="s">
        <v>11843</v>
      </c>
      <c r="C7514" s="8" t="s">
        <v>355</v>
      </c>
      <c r="D7514" s="8" t="str">
        <f>"9783110725612"</f>
        <v>9783110725612</v>
      </c>
    </row>
    <row r="7515" spans="1:4" x14ac:dyDescent="0.25">
      <c r="A7515" s="7" t="s">
        <v>9494</v>
      </c>
      <c r="B7515" s="8" t="s">
        <v>6576</v>
      </c>
      <c r="C7515" s="8" t="s">
        <v>2273</v>
      </c>
      <c r="D7515" s="8" t="str">
        <f>"9783030858179"</f>
        <v>9783030858179</v>
      </c>
    </row>
    <row r="7516" spans="1:4" x14ac:dyDescent="0.25">
      <c r="A7516" s="7" t="s">
        <v>5979</v>
      </c>
      <c r="B7516" s="8" t="s">
        <v>5980</v>
      </c>
      <c r="C7516" s="8" t="s">
        <v>5942</v>
      </c>
      <c r="D7516" s="8" t="str">
        <f>"9783476049766"</f>
        <v>9783476049766</v>
      </c>
    </row>
    <row r="7517" spans="1:4" x14ac:dyDescent="0.25">
      <c r="A7517" s="7" t="s">
        <v>8873</v>
      </c>
      <c r="B7517" s="8" t="s">
        <v>5058</v>
      </c>
      <c r="C7517" s="8" t="s">
        <v>1879</v>
      </c>
      <c r="D7517" s="8" t="str">
        <f>"9781800643529"</f>
        <v>9781800643529</v>
      </c>
    </row>
    <row r="7518" spans="1:4" x14ac:dyDescent="0.25">
      <c r="A7518" s="7" t="s">
        <v>9123</v>
      </c>
      <c r="B7518" s="8" t="s">
        <v>9124</v>
      </c>
      <c r="C7518" s="8" t="s">
        <v>1053</v>
      </c>
      <c r="D7518" s="8" t="str">
        <f>"9781646421701"</f>
        <v>9781646421701</v>
      </c>
    </row>
    <row r="7519" spans="1:4" x14ac:dyDescent="0.25">
      <c r="A7519" s="7" t="s">
        <v>1035</v>
      </c>
      <c r="B7519" s="8" t="s">
        <v>1037</v>
      </c>
      <c r="C7519" s="8" t="s">
        <v>1036</v>
      </c>
      <c r="D7519" s="8" t="str">
        <f>"9789027268686"</f>
        <v>9789027268686</v>
      </c>
    </row>
    <row r="7520" spans="1:4" x14ac:dyDescent="0.25">
      <c r="A7520" s="7" t="s">
        <v>5697</v>
      </c>
      <c r="B7520" s="8" t="s">
        <v>5698</v>
      </c>
      <c r="C7520" s="8" t="s">
        <v>2273</v>
      </c>
      <c r="D7520" s="8" t="str">
        <f>"9783319046006"</f>
        <v>9783319046006</v>
      </c>
    </row>
    <row r="7521" spans="1:4" x14ac:dyDescent="0.25">
      <c r="A7521" s="7" t="s">
        <v>5697</v>
      </c>
      <c r="B7521" s="8" t="s">
        <v>5698</v>
      </c>
      <c r="C7521" s="8" t="s">
        <v>2273</v>
      </c>
      <c r="D7521" s="8" t="str">
        <f>"9783030795153"</f>
        <v>9783030795153</v>
      </c>
    </row>
    <row r="7522" spans="1:4" x14ac:dyDescent="0.25">
      <c r="A7522" s="7" t="s">
        <v>4340</v>
      </c>
      <c r="B7522" s="8" t="s">
        <v>4341</v>
      </c>
      <c r="C7522" s="8" t="s">
        <v>1865</v>
      </c>
      <c r="D7522" s="8" t="str">
        <f>"9789176851166"</f>
        <v>9789176851166</v>
      </c>
    </row>
    <row r="7523" spans="1:4" x14ac:dyDescent="0.25">
      <c r="A7523" s="7" t="s">
        <v>6931</v>
      </c>
      <c r="B7523" s="8" t="s">
        <v>6932</v>
      </c>
      <c r="C7523" s="8" t="s">
        <v>2273</v>
      </c>
      <c r="D7523" s="8" t="str">
        <f>"9783030657680"</f>
        <v>9783030657680</v>
      </c>
    </row>
    <row r="7524" spans="1:4" ht="30" x14ac:dyDescent="0.25">
      <c r="A7524" s="7" t="s">
        <v>3737</v>
      </c>
      <c r="B7524" s="8" t="s">
        <v>3738</v>
      </c>
      <c r="C7524" s="8" t="s">
        <v>1865</v>
      </c>
      <c r="D7524" s="8" t="str">
        <f>"9789176853023"</f>
        <v>9789176853023</v>
      </c>
    </row>
    <row r="7525" spans="1:4" x14ac:dyDescent="0.25">
      <c r="A7525" s="7" t="s">
        <v>7256</v>
      </c>
      <c r="B7525" s="8" t="s">
        <v>7025</v>
      </c>
      <c r="C7525" s="8" t="s">
        <v>355</v>
      </c>
      <c r="D7525" s="8" t="str">
        <f>"9783110662979"</f>
        <v>9783110662979</v>
      </c>
    </row>
    <row r="7526" spans="1:4" x14ac:dyDescent="0.25">
      <c r="A7526" s="7" t="s">
        <v>3235</v>
      </c>
      <c r="B7526" s="8" t="s">
        <v>3236</v>
      </c>
      <c r="C7526" s="8" t="s">
        <v>309</v>
      </c>
      <c r="D7526" s="8" t="str">
        <f>"9781439914342"</f>
        <v>9781439914342</v>
      </c>
    </row>
    <row r="7527" spans="1:4" x14ac:dyDescent="0.25">
      <c r="A7527" s="7" t="s">
        <v>9228</v>
      </c>
      <c r="B7527" s="8" t="s">
        <v>9229</v>
      </c>
      <c r="C7527" s="8" t="s">
        <v>4882</v>
      </c>
      <c r="D7527" s="8" t="str">
        <f>"9781789624205"</f>
        <v>9781789624205</v>
      </c>
    </row>
    <row r="7528" spans="1:4" x14ac:dyDescent="0.25">
      <c r="A7528" s="7" t="s">
        <v>348</v>
      </c>
      <c r="B7528" s="8" t="s">
        <v>349</v>
      </c>
      <c r="C7528" s="8" t="s">
        <v>316</v>
      </c>
      <c r="D7528" s="8" t="str">
        <f>"9783598441790"</f>
        <v>9783598441790</v>
      </c>
    </row>
    <row r="7529" spans="1:4" x14ac:dyDescent="0.25">
      <c r="A7529" s="7" t="s">
        <v>8771</v>
      </c>
      <c r="B7529" s="8" t="s">
        <v>8772</v>
      </c>
      <c r="C7529" s="8" t="s">
        <v>2082</v>
      </c>
      <c r="D7529" s="8" t="str">
        <f>"9780472900510"</f>
        <v>9780472900510</v>
      </c>
    </row>
    <row r="7530" spans="1:4" x14ac:dyDescent="0.25">
      <c r="A7530" s="7" t="s">
        <v>2208</v>
      </c>
      <c r="B7530" s="8" t="s">
        <v>2209</v>
      </c>
      <c r="C7530" s="8" t="s">
        <v>355</v>
      </c>
      <c r="D7530" s="8" t="str">
        <f>"9783110374827"</f>
        <v>9783110374827</v>
      </c>
    </row>
    <row r="7531" spans="1:4" x14ac:dyDescent="0.25">
      <c r="A7531" s="7" t="s">
        <v>3208</v>
      </c>
      <c r="B7531" s="8" t="s">
        <v>3209</v>
      </c>
      <c r="C7531" s="8" t="s">
        <v>1879</v>
      </c>
      <c r="D7531" s="8" t="str">
        <f>"9781783743803"</f>
        <v>9781783743803</v>
      </c>
    </row>
    <row r="7532" spans="1:4" x14ac:dyDescent="0.25">
      <c r="A7532" s="7" t="s">
        <v>240</v>
      </c>
      <c r="B7532" s="8" t="s">
        <v>241</v>
      </c>
      <c r="C7532" s="8" t="s">
        <v>227</v>
      </c>
      <c r="D7532" s="8" t="str">
        <f>"9781847790118"</f>
        <v>9781847790118</v>
      </c>
    </row>
    <row r="7533" spans="1:4" x14ac:dyDescent="0.25">
      <c r="A7533" s="7" t="s">
        <v>6074</v>
      </c>
      <c r="B7533" s="8" t="s">
        <v>6075</v>
      </c>
      <c r="C7533" s="8" t="s">
        <v>2273</v>
      </c>
      <c r="D7533" s="8" t="str">
        <f>"9783319329390"</f>
        <v>9783319329390</v>
      </c>
    </row>
    <row r="7534" spans="1:4" x14ac:dyDescent="0.25">
      <c r="A7534" s="7" t="s">
        <v>6399</v>
      </c>
      <c r="B7534" s="8" t="s">
        <v>6400</v>
      </c>
      <c r="C7534" s="8" t="s">
        <v>1879</v>
      </c>
      <c r="D7534" s="8" t="str">
        <f>"9781800640436"</f>
        <v>9781800640436</v>
      </c>
    </row>
    <row r="7535" spans="1:4" x14ac:dyDescent="0.25">
      <c r="A7535" s="7" t="s">
        <v>6268</v>
      </c>
      <c r="B7535" s="8" t="s">
        <v>6269</v>
      </c>
      <c r="C7535" s="8" t="s">
        <v>2273</v>
      </c>
      <c r="D7535" s="8" t="str">
        <f>"9783319161044"</f>
        <v>9783319161044</v>
      </c>
    </row>
    <row r="7536" spans="1:4" ht="30" x14ac:dyDescent="0.25">
      <c r="A7536" s="7" t="s">
        <v>2518</v>
      </c>
      <c r="B7536" s="8" t="s">
        <v>2519</v>
      </c>
      <c r="C7536" s="8" t="s">
        <v>1865</v>
      </c>
      <c r="D7536" s="8" t="str">
        <f>"9789176859131"</f>
        <v>9789176859131</v>
      </c>
    </row>
    <row r="7537" spans="1:4" x14ac:dyDescent="0.25">
      <c r="A7537" s="7" t="s">
        <v>15505</v>
      </c>
      <c r="B7537" s="8" t="s">
        <v>15506</v>
      </c>
      <c r="C7537" s="8" t="s">
        <v>1865</v>
      </c>
      <c r="D7537" s="8" t="str">
        <f>"9789175196534"</f>
        <v>9789175196534</v>
      </c>
    </row>
    <row r="7538" spans="1:4" x14ac:dyDescent="0.25">
      <c r="A7538" s="7" t="s">
        <v>6630</v>
      </c>
      <c r="B7538" s="8" t="s">
        <v>6631</v>
      </c>
      <c r="C7538" s="8" t="s">
        <v>5086</v>
      </c>
      <c r="D7538" s="8" t="str">
        <f>"9783658331399"</f>
        <v>9783658331399</v>
      </c>
    </row>
    <row r="7539" spans="1:4" ht="30" x14ac:dyDescent="0.25">
      <c r="A7539" s="7" t="s">
        <v>13664</v>
      </c>
      <c r="B7539" s="8" t="s">
        <v>13665</v>
      </c>
      <c r="C7539" s="8" t="s">
        <v>2273</v>
      </c>
      <c r="D7539" s="8" t="str">
        <f>"9783031165672"</f>
        <v>9783031165672</v>
      </c>
    </row>
    <row r="7540" spans="1:4" x14ac:dyDescent="0.25">
      <c r="A7540" s="7" t="s">
        <v>3358</v>
      </c>
      <c r="B7540" s="8"/>
      <c r="C7540" s="8"/>
      <c r="D7540" s="8"/>
    </row>
    <row r="7541" spans="1:4" x14ac:dyDescent="0.25">
      <c r="A7541" s="7" t="s">
        <v>5584</v>
      </c>
      <c r="B7541" s="8" t="s">
        <v>5585</v>
      </c>
      <c r="C7541" s="8" t="s">
        <v>5358</v>
      </c>
      <c r="D7541" s="8" t="str">
        <f>"9781789245585"</f>
        <v>9781789245585</v>
      </c>
    </row>
    <row r="7542" spans="1:4" x14ac:dyDescent="0.25">
      <c r="A7542" s="7" t="s">
        <v>7822</v>
      </c>
      <c r="B7542" s="8" t="s">
        <v>7823</v>
      </c>
      <c r="C7542" s="8" t="s">
        <v>4245</v>
      </c>
      <c r="D7542" s="8" t="str">
        <f>"9789811628610"</f>
        <v>9789811628610</v>
      </c>
    </row>
    <row r="7543" spans="1:4" ht="45" x14ac:dyDescent="0.25">
      <c r="A7543" s="7" t="s">
        <v>4736</v>
      </c>
      <c r="B7543" s="8" t="s">
        <v>4737</v>
      </c>
      <c r="C7543" s="8" t="s">
        <v>1865</v>
      </c>
      <c r="D7543" s="8" t="str">
        <f>"9789176850008"</f>
        <v>9789176850008</v>
      </c>
    </row>
    <row r="7544" spans="1:4" ht="30" x14ac:dyDescent="0.25">
      <c r="A7544" s="7" t="s">
        <v>4555</v>
      </c>
      <c r="B7544" s="8" t="s">
        <v>4556</v>
      </c>
      <c r="C7544" s="8" t="s">
        <v>1865</v>
      </c>
      <c r="D7544" s="8" t="str">
        <f>"9789176850503"</f>
        <v>9789176850503</v>
      </c>
    </row>
    <row r="7545" spans="1:4" x14ac:dyDescent="0.25">
      <c r="A7545" s="7" t="s">
        <v>13588</v>
      </c>
      <c r="B7545" s="8" t="s">
        <v>13589</v>
      </c>
      <c r="C7545" s="8" t="s">
        <v>5086</v>
      </c>
      <c r="D7545" s="8" t="str">
        <f>"9783658394226"</f>
        <v>9783658394226</v>
      </c>
    </row>
    <row r="7546" spans="1:4" x14ac:dyDescent="0.25">
      <c r="A7546" s="7" t="s">
        <v>604</v>
      </c>
      <c r="B7546" s="8" t="s">
        <v>605</v>
      </c>
      <c r="C7546" s="8" t="s">
        <v>562</v>
      </c>
      <c r="D7546" s="8" t="str">
        <f>"9780822392095"</f>
        <v>9780822392095</v>
      </c>
    </row>
    <row r="7547" spans="1:4" x14ac:dyDescent="0.25">
      <c r="A7547" s="7" t="s">
        <v>4873</v>
      </c>
      <c r="B7547" s="8" t="s">
        <v>4874</v>
      </c>
      <c r="C7547" s="8" t="s">
        <v>1865</v>
      </c>
      <c r="D7547" s="8" t="str">
        <f>"9789179298869"</f>
        <v>9789179298869</v>
      </c>
    </row>
    <row r="7548" spans="1:4" ht="30" x14ac:dyDescent="0.25">
      <c r="A7548" s="7" t="s">
        <v>15606</v>
      </c>
      <c r="B7548" s="8" t="s">
        <v>15607</v>
      </c>
      <c r="C7548" s="8" t="s">
        <v>1865</v>
      </c>
      <c r="D7548" s="8" t="str">
        <f>"9789179294984"</f>
        <v>9789179294984</v>
      </c>
    </row>
    <row r="7549" spans="1:4" ht="30" x14ac:dyDescent="0.25">
      <c r="A7549" s="7" t="s">
        <v>2896</v>
      </c>
      <c r="B7549" s="8" t="s">
        <v>2897</v>
      </c>
      <c r="C7549" s="8" t="s">
        <v>1865</v>
      </c>
      <c r="D7549" s="8" t="str">
        <f>"9789176856376"</f>
        <v>9789176856376</v>
      </c>
    </row>
    <row r="7550" spans="1:4" x14ac:dyDescent="0.25">
      <c r="A7550" s="7" t="s">
        <v>2781</v>
      </c>
      <c r="B7550" s="8"/>
      <c r="C7550" s="8"/>
      <c r="D7550" s="8"/>
    </row>
    <row r="7551" spans="1:4" x14ac:dyDescent="0.25">
      <c r="A7551" s="7" t="s">
        <v>5691</v>
      </c>
      <c r="B7551" s="8" t="s">
        <v>5692</v>
      </c>
      <c r="C7551" s="8" t="s">
        <v>5484</v>
      </c>
      <c r="D7551" s="8" t="str">
        <f>"9781430263838"</f>
        <v>9781430263838</v>
      </c>
    </row>
    <row r="7552" spans="1:4" x14ac:dyDescent="0.25">
      <c r="A7552" s="7" t="s">
        <v>2967</v>
      </c>
      <c r="B7552" s="8" t="s">
        <v>2968</v>
      </c>
      <c r="C7552" s="8" t="s">
        <v>1879</v>
      </c>
      <c r="D7552" s="8" t="str">
        <f>"9781783742950"</f>
        <v>9781783742950</v>
      </c>
    </row>
    <row r="7553" spans="1:4" x14ac:dyDescent="0.25">
      <c r="A7553" s="7" t="s">
        <v>5352</v>
      </c>
      <c r="B7553" s="8" t="s">
        <v>146</v>
      </c>
      <c r="C7553" s="8" t="s">
        <v>2273</v>
      </c>
      <c r="D7553" s="8" t="str">
        <f>"9783030509910"</f>
        <v>9783030509910</v>
      </c>
    </row>
    <row r="7554" spans="1:4" x14ac:dyDescent="0.25">
      <c r="A7554" s="7" t="s">
        <v>12427</v>
      </c>
      <c r="B7554" s="8" t="s">
        <v>12428</v>
      </c>
      <c r="C7554" s="8" t="s">
        <v>2273</v>
      </c>
      <c r="D7554" s="8" t="str">
        <f>"9783031054532"</f>
        <v>9783031054532</v>
      </c>
    </row>
    <row r="7555" spans="1:4" ht="30" x14ac:dyDescent="0.25">
      <c r="A7555" s="7" t="s">
        <v>13449</v>
      </c>
      <c r="B7555" s="8" t="s">
        <v>13450</v>
      </c>
      <c r="C7555" s="8" t="s">
        <v>2273</v>
      </c>
      <c r="D7555" s="8" t="str">
        <f>"9783031057748"</f>
        <v>9783031057748</v>
      </c>
    </row>
    <row r="7556" spans="1:4" ht="30" x14ac:dyDescent="0.25">
      <c r="A7556" s="7" t="s">
        <v>1029</v>
      </c>
      <c r="B7556" s="8" t="s">
        <v>1030</v>
      </c>
      <c r="C7556" s="8" t="s">
        <v>329</v>
      </c>
      <c r="D7556" s="8" t="str">
        <f>"9789048526956"</f>
        <v>9789048526956</v>
      </c>
    </row>
    <row r="7557" spans="1:4" x14ac:dyDescent="0.25">
      <c r="A7557" s="7" t="s">
        <v>3032</v>
      </c>
      <c r="B7557" s="8" t="s">
        <v>3033</v>
      </c>
      <c r="C7557" s="8" t="s">
        <v>1345</v>
      </c>
      <c r="D7557" s="8" t="str">
        <f>"9783737601832"</f>
        <v>9783737601832</v>
      </c>
    </row>
    <row r="7558" spans="1:4" x14ac:dyDescent="0.25">
      <c r="A7558" s="7" t="s">
        <v>5309</v>
      </c>
      <c r="B7558" s="8" t="s">
        <v>5310</v>
      </c>
      <c r="C7558" s="8" t="s">
        <v>2273</v>
      </c>
      <c r="D7558" s="8" t="str">
        <f>"9783319575322"</f>
        <v>9783319575322</v>
      </c>
    </row>
    <row r="7559" spans="1:4" ht="30" x14ac:dyDescent="0.25">
      <c r="A7559" s="7" t="s">
        <v>13934</v>
      </c>
      <c r="B7559" s="8" t="s">
        <v>13935</v>
      </c>
      <c r="C7559" s="8" t="s">
        <v>2273</v>
      </c>
      <c r="D7559" s="8" t="str">
        <f>"9783031142161"</f>
        <v>9783031142161</v>
      </c>
    </row>
    <row r="7560" spans="1:4" x14ac:dyDescent="0.25">
      <c r="A7560" s="7" t="s">
        <v>7253</v>
      </c>
      <c r="B7560" s="8" t="s">
        <v>7254</v>
      </c>
      <c r="C7560" s="8" t="s">
        <v>355</v>
      </c>
      <c r="D7560" s="8" t="str">
        <f>"9783110650723"</f>
        <v>9783110650723</v>
      </c>
    </row>
    <row r="7561" spans="1:4" x14ac:dyDescent="0.25">
      <c r="A7561" s="7" t="s">
        <v>537</v>
      </c>
      <c r="B7561" s="8" t="s">
        <v>538</v>
      </c>
      <c r="C7561" s="8" t="s">
        <v>309</v>
      </c>
      <c r="D7561" s="8" t="str">
        <f>"9781439909119"</f>
        <v>9781439909119</v>
      </c>
    </row>
    <row r="7562" spans="1:4" x14ac:dyDescent="0.25">
      <c r="A7562" s="7" t="s">
        <v>268</v>
      </c>
      <c r="B7562" s="8" t="s">
        <v>269</v>
      </c>
      <c r="C7562" s="8" t="s">
        <v>227</v>
      </c>
      <c r="D7562" s="8" t="str">
        <f>"9781847790316"</f>
        <v>9781847790316</v>
      </c>
    </row>
    <row r="7563" spans="1:4" ht="30" x14ac:dyDescent="0.25">
      <c r="A7563" s="7" t="s">
        <v>15279</v>
      </c>
      <c r="B7563" s="8" t="s">
        <v>14948</v>
      </c>
      <c r="C7563" s="8" t="s">
        <v>1865</v>
      </c>
      <c r="D7563" s="8" t="str">
        <f>"9789176857342"</f>
        <v>9789176857342</v>
      </c>
    </row>
    <row r="7564" spans="1:4" ht="30" x14ac:dyDescent="0.25">
      <c r="A7564" s="7" t="s">
        <v>4484</v>
      </c>
      <c r="B7564" s="8" t="s">
        <v>4485</v>
      </c>
      <c r="C7564" s="8" t="s">
        <v>1865</v>
      </c>
      <c r="D7564" s="8" t="str">
        <f>"9789176851173"</f>
        <v>9789176851173</v>
      </c>
    </row>
    <row r="7565" spans="1:4" x14ac:dyDescent="0.25">
      <c r="A7565" s="7" t="s">
        <v>1294</v>
      </c>
      <c r="B7565" s="8" t="s">
        <v>1295</v>
      </c>
      <c r="C7565" s="8" t="s">
        <v>1224</v>
      </c>
      <c r="D7565" s="8" t="str">
        <f>"9781618111951"</f>
        <v>9781618111951</v>
      </c>
    </row>
    <row r="7566" spans="1:4" ht="30" x14ac:dyDescent="0.25">
      <c r="A7566" s="7" t="s">
        <v>15382</v>
      </c>
      <c r="B7566" s="8" t="s">
        <v>4789</v>
      </c>
      <c r="C7566" s="8" t="s">
        <v>1865</v>
      </c>
      <c r="D7566" s="8" t="str">
        <f>"9789176857908"</f>
        <v>9789176857908</v>
      </c>
    </row>
    <row r="7567" spans="1:4" ht="30" x14ac:dyDescent="0.25">
      <c r="A7567" s="7" t="s">
        <v>15850</v>
      </c>
      <c r="B7567" s="8" t="s">
        <v>15851</v>
      </c>
      <c r="C7567" s="8" t="s">
        <v>1865</v>
      </c>
      <c r="D7567" s="8" t="str">
        <f>"9789175198484"</f>
        <v>9789175198484</v>
      </c>
    </row>
    <row r="7568" spans="1:4" x14ac:dyDescent="0.25">
      <c r="A7568" s="7" t="s">
        <v>230</v>
      </c>
      <c r="B7568" s="8" t="s">
        <v>231</v>
      </c>
      <c r="C7568" s="8" t="s">
        <v>227</v>
      </c>
      <c r="D7568" s="8" t="str">
        <f>"9781847790552"</f>
        <v>9781847790552</v>
      </c>
    </row>
    <row r="7569" spans="1:4" x14ac:dyDescent="0.25">
      <c r="A7569" s="7" t="s">
        <v>4016</v>
      </c>
      <c r="B7569" s="8" t="s">
        <v>4017</v>
      </c>
      <c r="C7569" s="8" t="s">
        <v>1345</v>
      </c>
      <c r="D7569" s="8" t="str">
        <f>"9783737605311"</f>
        <v>9783737605311</v>
      </c>
    </row>
    <row r="7570" spans="1:4" x14ac:dyDescent="0.25">
      <c r="A7570" s="7" t="s">
        <v>11102</v>
      </c>
      <c r="B7570" s="8" t="s">
        <v>6717</v>
      </c>
      <c r="C7570" s="8" t="s">
        <v>6716</v>
      </c>
      <c r="D7570" s="8" t="str">
        <f>"9780472902033"</f>
        <v>9780472902033</v>
      </c>
    </row>
    <row r="7571" spans="1:4" x14ac:dyDescent="0.25">
      <c r="A7571" s="7" t="s">
        <v>6383</v>
      </c>
      <c r="B7571" s="8" t="s">
        <v>6384</v>
      </c>
      <c r="C7571" s="8" t="s">
        <v>4245</v>
      </c>
      <c r="D7571" s="8" t="str">
        <f>"9789811595981"</f>
        <v>9789811595981</v>
      </c>
    </row>
    <row r="7572" spans="1:4" x14ac:dyDescent="0.25">
      <c r="A7572" s="7" t="s">
        <v>3663</v>
      </c>
      <c r="B7572" s="8" t="s">
        <v>3664</v>
      </c>
      <c r="C7572" s="8" t="s">
        <v>1879</v>
      </c>
      <c r="D7572" s="8" t="str">
        <f>"9781783743551"</f>
        <v>9781783743551</v>
      </c>
    </row>
    <row r="7573" spans="1:4" x14ac:dyDescent="0.25">
      <c r="A7573" s="7" t="s">
        <v>3946</v>
      </c>
      <c r="B7573" s="8" t="s">
        <v>3947</v>
      </c>
      <c r="C7573" s="8" t="s">
        <v>1879</v>
      </c>
      <c r="D7573" s="8" t="str">
        <f>"9781783744350"</f>
        <v>9781783744350</v>
      </c>
    </row>
    <row r="7574" spans="1:4" ht="30" x14ac:dyDescent="0.25">
      <c r="A7574" s="7" t="s">
        <v>3949</v>
      </c>
      <c r="B7574" s="8" t="s">
        <v>3947</v>
      </c>
      <c r="C7574" s="8" t="s">
        <v>1879</v>
      </c>
      <c r="D7574" s="8" t="str">
        <f>"9781783745081"</f>
        <v>9781783745081</v>
      </c>
    </row>
    <row r="7575" spans="1:4" ht="30" x14ac:dyDescent="0.25">
      <c r="A7575" s="7" t="s">
        <v>4101</v>
      </c>
      <c r="B7575" s="8" t="s">
        <v>3947</v>
      </c>
      <c r="C7575" s="8" t="s">
        <v>1879</v>
      </c>
      <c r="D7575" s="8" t="str">
        <f>"9781783745234"</f>
        <v>9781783745234</v>
      </c>
    </row>
    <row r="7576" spans="1:4" ht="30" x14ac:dyDescent="0.25">
      <c r="A7576" s="7" t="s">
        <v>4215</v>
      </c>
      <c r="B7576" s="8" t="s">
        <v>3947</v>
      </c>
      <c r="C7576" s="8" t="s">
        <v>1879</v>
      </c>
      <c r="D7576" s="8" t="str">
        <f>"9781783745319"</f>
        <v>9781783745319</v>
      </c>
    </row>
    <row r="7577" spans="1:4" ht="30" x14ac:dyDescent="0.25">
      <c r="A7577" s="7" t="s">
        <v>4211</v>
      </c>
      <c r="B7577" s="8" t="s">
        <v>3947</v>
      </c>
      <c r="C7577" s="8" t="s">
        <v>1879</v>
      </c>
      <c r="D7577" s="8" t="str">
        <f>"9781783745364"</f>
        <v>9781783745364</v>
      </c>
    </row>
    <row r="7578" spans="1:4" ht="30" x14ac:dyDescent="0.25">
      <c r="A7578" s="7" t="s">
        <v>4305</v>
      </c>
      <c r="B7578" s="8" t="s">
        <v>3947</v>
      </c>
      <c r="C7578" s="8" t="s">
        <v>1879</v>
      </c>
      <c r="D7578" s="8" t="str">
        <f>"9781783745418"</f>
        <v>9781783745418</v>
      </c>
    </row>
    <row r="7579" spans="1:4" x14ac:dyDescent="0.25">
      <c r="A7579" s="7" t="s">
        <v>11114</v>
      </c>
      <c r="B7579" s="8" t="s">
        <v>11115</v>
      </c>
      <c r="C7579" s="8" t="s">
        <v>6716</v>
      </c>
      <c r="D7579" s="8" t="str">
        <f>"9780472901401"</f>
        <v>9780472901401</v>
      </c>
    </row>
    <row r="7580" spans="1:4" ht="30" x14ac:dyDescent="0.25">
      <c r="A7580" s="7" t="s">
        <v>381</v>
      </c>
      <c r="B7580" s="8" t="s">
        <v>382</v>
      </c>
      <c r="C7580" s="8" t="s">
        <v>227</v>
      </c>
      <c r="D7580" s="8" t="str">
        <f>"9781847791283"</f>
        <v>9781847791283</v>
      </c>
    </row>
    <row r="7581" spans="1:4" x14ac:dyDescent="0.25">
      <c r="A7581" s="7" t="s">
        <v>407</v>
      </c>
      <c r="B7581" s="8" t="s">
        <v>5</v>
      </c>
      <c r="C7581" s="8" t="s">
        <v>227</v>
      </c>
      <c r="D7581" s="8" t="str">
        <f>"9781847790583"</f>
        <v>9781847790583</v>
      </c>
    </row>
    <row r="7582" spans="1:4" ht="30" x14ac:dyDescent="0.25">
      <c r="A7582" s="7" t="s">
        <v>442</v>
      </c>
      <c r="B7582" s="8" t="s">
        <v>443</v>
      </c>
      <c r="C7582" s="8" t="s">
        <v>227</v>
      </c>
      <c r="D7582" s="8" t="str">
        <f>"9781847791313"</f>
        <v>9781847791313</v>
      </c>
    </row>
    <row r="7583" spans="1:4" x14ac:dyDescent="0.25">
      <c r="A7583" s="7" t="s">
        <v>412</v>
      </c>
      <c r="B7583" s="8" t="s">
        <v>413</v>
      </c>
      <c r="C7583" s="8" t="s">
        <v>227</v>
      </c>
      <c r="D7583" s="8" t="str">
        <f>"9781847790811"</f>
        <v>9781847790811</v>
      </c>
    </row>
    <row r="7584" spans="1:4" x14ac:dyDescent="0.25">
      <c r="A7584" s="7" t="s">
        <v>6461</v>
      </c>
      <c r="B7584" s="8" t="s">
        <v>6462</v>
      </c>
      <c r="C7584" s="8" t="s">
        <v>2273</v>
      </c>
      <c r="D7584" s="8" t="str">
        <f>"9783030596941"</f>
        <v>9783030596941</v>
      </c>
    </row>
    <row r="7585" spans="1:4" x14ac:dyDescent="0.25">
      <c r="A7585" s="7" t="s">
        <v>11559</v>
      </c>
      <c r="B7585" s="8" t="s">
        <v>7194</v>
      </c>
      <c r="C7585" s="8" t="s">
        <v>355</v>
      </c>
      <c r="D7585" s="8" t="str">
        <f>"9783110684827"</f>
        <v>9783110684827</v>
      </c>
    </row>
    <row r="7586" spans="1:4" ht="30" x14ac:dyDescent="0.25">
      <c r="A7586" s="7" t="s">
        <v>15396</v>
      </c>
      <c r="B7586" s="8" t="s">
        <v>15397</v>
      </c>
      <c r="C7586" s="8" t="s">
        <v>1865</v>
      </c>
      <c r="D7586" s="8" t="str">
        <f>"9789175197722"</f>
        <v>9789175197722</v>
      </c>
    </row>
    <row r="7587" spans="1:4" ht="30" x14ac:dyDescent="0.25">
      <c r="A7587" s="7" t="s">
        <v>9104</v>
      </c>
      <c r="B7587" s="8" t="s">
        <v>9105</v>
      </c>
      <c r="C7587" s="8" t="s">
        <v>2273</v>
      </c>
      <c r="D7587" s="8" t="str">
        <f>"9783030909840"</f>
        <v>9783030909840</v>
      </c>
    </row>
    <row r="7588" spans="1:4" x14ac:dyDescent="0.25">
      <c r="A7588" s="7" t="s">
        <v>9572</v>
      </c>
      <c r="B7588" s="8" t="s">
        <v>9573</v>
      </c>
      <c r="C7588" s="8" t="s">
        <v>4882</v>
      </c>
      <c r="D7588" s="8" t="str">
        <f>"9781789624212"</f>
        <v>9781789624212</v>
      </c>
    </row>
    <row r="7589" spans="1:4" x14ac:dyDescent="0.25">
      <c r="A7589" s="7" t="s">
        <v>4750</v>
      </c>
      <c r="B7589" s="8" t="s">
        <v>4751</v>
      </c>
      <c r="C7589" s="8" t="s">
        <v>562</v>
      </c>
      <c r="D7589" s="8" t="str">
        <f>"9781478004578"</f>
        <v>9781478004578</v>
      </c>
    </row>
    <row r="7590" spans="1:4" x14ac:dyDescent="0.25">
      <c r="A7590" s="7" t="s">
        <v>6622</v>
      </c>
      <c r="B7590" s="8" t="s">
        <v>6623</v>
      </c>
      <c r="C7590" s="8" t="s">
        <v>2273</v>
      </c>
      <c r="D7590" s="8" t="str">
        <f>"9783030660734"</f>
        <v>9783030660734</v>
      </c>
    </row>
    <row r="7591" spans="1:4" x14ac:dyDescent="0.25">
      <c r="A7591" s="7" t="s">
        <v>4927</v>
      </c>
      <c r="B7591" s="8" t="s">
        <v>4214</v>
      </c>
      <c r="C7591" s="8" t="s">
        <v>1879</v>
      </c>
      <c r="D7591" s="8" t="str">
        <f>"9781783748716"</f>
        <v>9781783748716</v>
      </c>
    </row>
    <row r="7592" spans="1:4" x14ac:dyDescent="0.25">
      <c r="A7592" s="7" t="s">
        <v>5335</v>
      </c>
      <c r="B7592" s="8" t="s">
        <v>4214</v>
      </c>
      <c r="C7592" s="8" t="s">
        <v>1879</v>
      </c>
      <c r="D7592" s="8" t="str">
        <f>"9781800640078"</f>
        <v>9781800640078</v>
      </c>
    </row>
    <row r="7593" spans="1:4" x14ac:dyDescent="0.25">
      <c r="A7593" s="7" t="s">
        <v>4213</v>
      </c>
      <c r="B7593" s="8" t="s">
        <v>4214</v>
      </c>
      <c r="C7593" s="8" t="s">
        <v>1879</v>
      </c>
      <c r="D7593" s="8" t="str">
        <f>"9781783745029"</f>
        <v>9781783745029</v>
      </c>
    </row>
    <row r="7594" spans="1:4" x14ac:dyDescent="0.25">
      <c r="A7594" s="7" t="s">
        <v>2389</v>
      </c>
      <c r="B7594" s="8" t="s">
        <v>2390</v>
      </c>
      <c r="C7594" s="8" t="s">
        <v>1879</v>
      </c>
      <c r="D7594" s="8" t="str">
        <f>"9781909254978"</f>
        <v>9781909254978</v>
      </c>
    </row>
    <row r="7595" spans="1:4" x14ac:dyDescent="0.25">
      <c r="A7595" s="7" t="s">
        <v>8061</v>
      </c>
      <c r="B7595" s="8" t="s">
        <v>8062</v>
      </c>
      <c r="C7595" s="8" t="s">
        <v>2273</v>
      </c>
      <c r="D7595" s="8" t="str">
        <f>"9783030744434"</f>
        <v>9783030744434</v>
      </c>
    </row>
    <row r="7596" spans="1:4" x14ac:dyDescent="0.25">
      <c r="A7596" s="7" t="s">
        <v>5094</v>
      </c>
      <c r="B7596" s="8" t="s">
        <v>5095</v>
      </c>
      <c r="C7596" s="8" t="s">
        <v>2273</v>
      </c>
      <c r="D7596" s="8" t="str">
        <f>"9783030547950"</f>
        <v>9783030547950</v>
      </c>
    </row>
    <row r="7597" spans="1:4" ht="30" x14ac:dyDescent="0.25">
      <c r="A7597" s="7" t="s">
        <v>3835</v>
      </c>
      <c r="B7597" s="8" t="s">
        <v>58</v>
      </c>
      <c r="C7597" s="8" t="s">
        <v>316</v>
      </c>
      <c r="D7597" s="8" t="str">
        <f>"9783110477498"</f>
        <v>9783110477498</v>
      </c>
    </row>
    <row r="7598" spans="1:4" x14ac:dyDescent="0.25">
      <c r="A7598" s="7" t="s">
        <v>787</v>
      </c>
      <c r="B7598" s="8" t="s">
        <v>788</v>
      </c>
      <c r="C7598" s="8" t="s">
        <v>355</v>
      </c>
      <c r="D7598" s="8" t="str">
        <f>"9788376560748"</f>
        <v>9788376560748</v>
      </c>
    </row>
    <row r="7599" spans="1:4" ht="30" x14ac:dyDescent="0.25">
      <c r="A7599" s="7" t="s">
        <v>13418</v>
      </c>
      <c r="B7599" s="8" t="s">
        <v>13419</v>
      </c>
      <c r="C7599" s="8" t="s">
        <v>2274</v>
      </c>
      <c r="D7599" s="8" t="str">
        <f>"9789811942341"</f>
        <v>9789811942341</v>
      </c>
    </row>
    <row r="7600" spans="1:4" x14ac:dyDescent="0.25">
      <c r="A7600" s="7" t="s">
        <v>1878</v>
      </c>
      <c r="B7600" s="8" t="s">
        <v>1880</v>
      </c>
      <c r="C7600" s="8" t="s">
        <v>1879</v>
      </c>
      <c r="D7600" s="8" t="str">
        <f>"9781909254374"</f>
        <v>9781909254374</v>
      </c>
    </row>
    <row r="7601" spans="1:4" x14ac:dyDescent="0.25">
      <c r="A7601" s="7" t="s">
        <v>12398</v>
      </c>
      <c r="B7601" s="8" t="s">
        <v>12399</v>
      </c>
      <c r="C7601" s="8" t="s">
        <v>2273</v>
      </c>
      <c r="D7601" s="8" t="str">
        <f>"9783030949266"</f>
        <v>9783030949266</v>
      </c>
    </row>
    <row r="7602" spans="1:4" ht="30" x14ac:dyDescent="0.25">
      <c r="A7602" s="7" t="s">
        <v>11530</v>
      </c>
      <c r="B7602" s="8" t="s">
        <v>11531</v>
      </c>
      <c r="C7602" s="8" t="s">
        <v>355</v>
      </c>
      <c r="D7602" s="8" t="str">
        <f>"9783110709308"</f>
        <v>9783110709308</v>
      </c>
    </row>
    <row r="7603" spans="1:4" x14ac:dyDescent="0.25">
      <c r="A7603" s="7" t="s">
        <v>11270</v>
      </c>
      <c r="B7603" s="8" t="s">
        <v>11271</v>
      </c>
      <c r="C7603" s="8" t="s">
        <v>355</v>
      </c>
      <c r="D7603" s="8" t="str">
        <f>"9783110713305"</f>
        <v>9783110713305</v>
      </c>
    </row>
    <row r="7604" spans="1:4" x14ac:dyDescent="0.25">
      <c r="A7604" s="7" t="s">
        <v>14968</v>
      </c>
      <c r="B7604" s="8" t="s">
        <v>14969</v>
      </c>
      <c r="C7604" s="8" t="s">
        <v>1865</v>
      </c>
      <c r="D7604" s="8" t="str">
        <f>"9789175198408"</f>
        <v>9789175198408</v>
      </c>
    </row>
    <row r="7605" spans="1:4" x14ac:dyDescent="0.25">
      <c r="A7605" s="7" t="s">
        <v>5701</v>
      </c>
      <c r="B7605" s="8" t="s">
        <v>5702</v>
      </c>
      <c r="C7605" s="8" t="s">
        <v>4245</v>
      </c>
      <c r="D7605" s="8" t="str">
        <f>"9789811040719"</f>
        <v>9789811040719</v>
      </c>
    </row>
    <row r="7606" spans="1:4" x14ac:dyDescent="0.25">
      <c r="A7606" s="7" t="s">
        <v>950</v>
      </c>
      <c r="B7606" s="8" t="s">
        <v>951</v>
      </c>
      <c r="C7606" s="8" t="s">
        <v>329</v>
      </c>
      <c r="D7606" s="8" t="str">
        <f>"9789048518449"</f>
        <v>9789048518449</v>
      </c>
    </row>
    <row r="7607" spans="1:4" x14ac:dyDescent="0.25">
      <c r="A7607" s="7" t="s">
        <v>9936</v>
      </c>
      <c r="B7607" s="8" t="s">
        <v>9937</v>
      </c>
      <c r="C7607" s="8" t="s">
        <v>993</v>
      </c>
      <c r="D7607" s="8" t="str">
        <f>"9783839408353"</f>
        <v>9783839408353</v>
      </c>
    </row>
    <row r="7608" spans="1:4" x14ac:dyDescent="0.25">
      <c r="A7608" s="7" t="s">
        <v>398</v>
      </c>
      <c r="B7608" s="8" t="s">
        <v>0</v>
      </c>
      <c r="C7608" s="8" t="s">
        <v>227</v>
      </c>
      <c r="D7608" s="8" t="str">
        <f>"9781847790750"</f>
        <v>9781847790750</v>
      </c>
    </row>
    <row r="7609" spans="1:4" x14ac:dyDescent="0.25">
      <c r="A7609" s="7" t="s">
        <v>2170</v>
      </c>
      <c r="B7609" s="8" t="s">
        <v>2171</v>
      </c>
      <c r="C7609" s="8" t="s">
        <v>2168</v>
      </c>
      <c r="D7609" s="8" t="str">
        <f>"9780295801667"</f>
        <v>9780295801667</v>
      </c>
    </row>
    <row r="7610" spans="1:4" x14ac:dyDescent="0.25">
      <c r="A7610" s="7" t="s">
        <v>10770</v>
      </c>
      <c r="B7610" s="8" t="s">
        <v>10771</v>
      </c>
      <c r="C7610" s="8" t="s">
        <v>1876</v>
      </c>
      <c r="D7610" s="8" t="str">
        <f>"9781921867873"</f>
        <v>9781921867873</v>
      </c>
    </row>
    <row r="7611" spans="1:4" x14ac:dyDescent="0.25">
      <c r="A7611" s="7" t="s">
        <v>1228</v>
      </c>
      <c r="B7611" s="8" t="s">
        <v>1229</v>
      </c>
      <c r="C7611" s="8" t="s">
        <v>1224</v>
      </c>
      <c r="D7611" s="8" t="str">
        <f>"9781618116987"</f>
        <v>9781618116987</v>
      </c>
    </row>
    <row r="7612" spans="1:4" ht="30" x14ac:dyDescent="0.25">
      <c r="A7612" s="7" t="s">
        <v>6448</v>
      </c>
      <c r="B7612" s="8" t="s">
        <v>6449</v>
      </c>
      <c r="C7612" s="8" t="s">
        <v>1879</v>
      </c>
      <c r="D7612" s="8" t="str">
        <f>"9781800640344"</f>
        <v>9781800640344</v>
      </c>
    </row>
    <row r="7613" spans="1:4" x14ac:dyDescent="0.25">
      <c r="A7613" s="7" t="s">
        <v>2307</v>
      </c>
      <c r="B7613" s="8" t="s">
        <v>2308</v>
      </c>
      <c r="C7613" s="8" t="s">
        <v>316</v>
      </c>
      <c r="D7613" s="8" t="str">
        <f>"9783110417920"</f>
        <v>9783110417920</v>
      </c>
    </row>
    <row r="7614" spans="1:4" x14ac:dyDescent="0.25">
      <c r="A7614" s="7" t="s">
        <v>5930</v>
      </c>
      <c r="B7614" s="8" t="s">
        <v>5931</v>
      </c>
      <c r="C7614" s="8" t="s">
        <v>2273</v>
      </c>
      <c r="D7614" s="8" t="str">
        <f>"9783319389653"</f>
        <v>9783319389653</v>
      </c>
    </row>
    <row r="7615" spans="1:4" ht="30" x14ac:dyDescent="0.25">
      <c r="A7615" s="7" t="s">
        <v>15915</v>
      </c>
      <c r="B7615" s="8" t="s">
        <v>15916</v>
      </c>
      <c r="C7615" s="8" t="s">
        <v>1865</v>
      </c>
      <c r="D7615" s="8" t="str">
        <f>"9789175191423"</f>
        <v>9789175191423</v>
      </c>
    </row>
    <row r="7616" spans="1:4" x14ac:dyDescent="0.25">
      <c r="A7616" s="7" t="s">
        <v>9222</v>
      </c>
      <c r="B7616" s="8" t="s">
        <v>9223</v>
      </c>
      <c r="C7616" s="8" t="s">
        <v>4882</v>
      </c>
      <c r="D7616" s="8" t="str">
        <f>"9781786949493"</f>
        <v>9781786949493</v>
      </c>
    </row>
    <row r="7617" spans="1:4" x14ac:dyDescent="0.25">
      <c r="A7617" s="7" t="s">
        <v>11958</v>
      </c>
      <c r="B7617" s="8" t="s">
        <v>11959</v>
      </c>
      <c r="C7617" s="8" t="s">
        <v>355</v>
      </c>
      <c r="D7617" s="8" t="str">
        <f>"9783110695366"</f>
        <v>9783110695366</v>
      </c>
    </row>
    <row r="7618" spans="1:4" x14ac:dyDescent="0.25">
      <c r="A7618" s="7" t="s">
        <v>12043</v>
      </c>
      <c r="B7618" s="8" t="s">
        <v>871</v>
      </c>
      <c r="C7618" s="8" t="s">
        <v>355</v>
      </c>
      <c r="D7618" s="8" t="str">
        <f>"9783110757408"</f>
        <v>9783110757408</v>
      </c>
    </row>
    <row r="7619" spans="1:4" x14ac:dyDescent="0.25">
      <c r="A7619" s="7" t="s">
        <v>14359</v>
      </c>
      <c r="B7619" s="8" t="s">
        <v>14360</v>
      </c>
      <c r="C7619" s="8" t="s">
        <v>1879</v>
      </c>
      <c r="D7619" s="8" t="str">
        <f>"9781800647817"</f>
        <v>9781800647817</v>
      </c>
    </row>
    <row r="7620" spans="1:4" ht="30" x14ac:dyDescent="0.25">
      <c r="A7620" s="7" t="s">
        <v>11063</v>
      </c>
      <c r="B7620" s="8" t="s">
        <v>11064</v>
      </c>
      <c r="C7620" s="8" t="s">
        <v>6704</v>
      </c>
      <c r="D7620" s="8" t="str">
        <f>"9780472901739"</f>
        <v>9780472901739</v>
      </c>
    </row>
    <row r="7621" spans="1:4" x14ac:dyDescent="0.25">
      <c r="A7621" s="7" t="s">
        <v>9182</v>
      </c>
      <c r="B7621" s="8" t="s">
        <v>9183</v>
      </c>
      <c r="C7621" s="8" t="s">
        <v>4882</v>
      </c>
      <c r="D7621" s="8" t="str">
        <f>"9781781387733"</f>
        <v>9781781387733</v>
      </c>
    </row>
    <row r="7622" spans="1:4" x14ac:dyDescent="0.25">
      <c r="A7622" s="7" t="s">
        <v>2383</v>
      </c>
      <c r="B7622" s="8" t="s">
        <v>2384</v>
      </c>
      <c r="C7622" s="8" t="s">
        <v>309</v>
      </c>
      <c r="D7622" s="8" t="str">
        <f>"9781439912782"</f>
        <v>9781439912782</v>
      </c>
    </row>
    <row r="7623" spans="1:4" x14ac:dyDescent="0.25">
      <c r="A7623" s="7" t="s">
        <v>1271</v>
      </c>
      <c r="B7623" s="8" t="s">
        <v>1272</v>
      </c>
      <c r="C7623" s="8" t="s">
        <v>1224</v>
      </c>
      <c r="D7623" s="8" t="str">
        <f>"9781618116857"</f>
        <v>9781618116857</v>
      </c>
    </row>
    <row r="7624" spans="1:4" x14ac:dyDescent="0.25">
      <c r="A7624" s="7" t="s">
        <v>7681</v>
      </c>
      <c r="B7624" s="8" t="s">
        <v>7682</v>
      </c>
      <c r="C7624" s="8" t="s">
        <v>993</v>
      </c>
      <c r="D7624" s="8" t="str">
        <f>"9783839414859"</f>
        <v>9783839414859</v>
      </c>
    </row>
    <row r="7625" spans="1:4" x14ac:dyDescent="0.25">
      <c r="A7625" s="7" t="s">
        <v>5201</v>
      </c>
      <c r="B7625" s="8" t="s">
        <v>5202</v>
      </c>
      <c r="C7625" s="8" t="s">
        <v>2273</v>
      </c>
      <c r="D7625" s="8" t="str">
        <f>"9783030511890"</f>
        <v>9783030511890</v>
      </c>
    </row>
    <row r="7626" spans="1:4" x14ac:dyDescent="0.25">
      <c r="A7626" s="7" t="s">
        <v>9042</v>
      </c>
      <c r="B7626" s="8" t="s">
        <v>9043</v>
      </c>
      <c r="C7626" s="8" t="s">
        <v>2273</v>
      </c>
      <c r="D7626" s="8" t="str">
        <f>"9783030855802"</f>
        <v>9783030855802</v>
      </c>
    </row>
    <row r="7627" spans="1:4" x14ac:dyDescent="0.25">
      <c r="A7627" s="7" t="s">
        <v>8824</v>
      </c>
      <c r="B7627" s="8" t="s">
        <v>8825</v>
      </c>
      <c r="C7627" s="8" t="s">
        <v>8805</v>
      </c>
      <c r="D7627" s="8" t="str">
        <f>"9781934831120"</f>
        <v>9781934831120</v>
      </c>
    </row>
    <row r="7628" spans="1:4" ht="30" x14ac:dyDescent="0.25">
      <c r="A7628" s="7" t="s">
        <v>722</v>
      </c>
      <c r="B7628" s="8" t="s">
        <v>723</v>
      </c>
      <c r="C7628" s="8" t="s">
        <v>316</v>
      </c>
      <c r="D7628" s="8" t="str">
        <f>"9783110325928"</f>
        <v>9783110325928</v>
      </c>
    </row>
    <row r="7629" spans="1:4" x14ac:dyDescent="0.25">
      <c r="A7629" s="7" t="s">
        <v>9081</v>
      </c>
      <c r="B7629" s="8" t="s">
        <v>9082</v>
      </c>
      <c r="C7629" s="8" t="s">
        <v>1879</v>
      </c>
      <c r="D7629" s="8" t="str">
        <f>"9781800643048"</f>
        <v>9781800643048</v>
      </c>
    </row>
    <row r="7630" spans="1:4" x14ac:dyDescent="0.25">
      <c r="A7630" s="7" t="s">
        <v>328</v>
      </c>
      <c r="B7630" s="8" t="s">
        <v>330</v>
      </c>
      <c r="C7630" s="8" t="s">
        <v>329</v>
      </c>
      <c r="D7630" s="8" t="str">
        <f>"9789048506149"</f>
        <v>9789048506149</v>
      </c>
    </row>
    <row r="7631" spans="1:4" x14ac:dyDescent="0.25">
      <c r="A7631" s="7" t="s">
        <v>289</v>
      </c>
      <c r="B7631" s="8" t="s">
        <v>290</v>
      </c>
      <c r="C7631" s="8" t="s">
        <v>227</v>
      </c>
      <c r="D7631" s="8" t="str">
        <f>"9781847790354"</f>
        <v>9781847790354</v>
      </c>
    </row>
    <row r="7632" spans="1:4" x14ac:dyDescent="0.25">
      <c r="A7632" s="7" t="s">
        <v>6626</v>
      </c>
      <c r="B7632" s="8" t="s">
        <v>6627</v>
      </c>
      <c r="C7632" s="8" t="s">
        <v>2273</v>
      </c>
      <c r="D7632" s="8" t="str">
        <f>"9783030653552"</f>
        <v>9783030653552</v>
      </c>
    </row>
    <row r="7633" spans="1:4" x14ac:dyDescent="0.25">
      <c r="A7633" s="7" t="s">
        <v>8265</v>
      </c>
      <c r="B7633" s="8" t="s">
        <v>8266</v>
      </c>
      <c r="C7633" s="8" t="s">
        <v>993</v>
      </c>
      <c r="D7633" s="8" t="str">
        <f>"9783839454336"</f>
        <v>9783839454336</v>
      </c>
    </row>
    <row r="7634" spans="1:4" x14ac:dyDescent="0.25">
      <c r="A7634" s="7" t="s">
        <v>8117</v>
      </c>
      <c r="B7634" s="8" t="s">
        <v>8118</v>
      </c>
      <c r="C7634" s="8" t="s">
        <v>2273</v>
      </c>
      <c r="D7634" s="8" t="str">
        <f>"9783030782016"</f>
        <v>9783030782016</v>
      </c>
    </row>
    <row r="7635" spans="1:4" x14ac:dyDescent="0.25">
      <c r="A7635" s="7" t="s">
        <v>4373</v>
      </c>
      <c r="B7635" s="8" t="s">
        <v>4374</v>
      </c>
      <c r="C7635" s="8" t="s">
        <v>562</v>
      </c>
      <c r="D7635" s="8" t="str">
        <f>"9781478004486"</f>
        <v>9781478004486</v>
      </c>
    </row>
    <row r="7636" spans="1:4" x14ac:dyDescent="0.25">
      <c r="A7636" s="7" t="s">
        <v>10123</v>
      </c>
      <c r="B7636" s="8" t="s">
        <v>10124</v>
      </c>
      <c r="C7636" s="8" t="s">
        <v>993</v>
      </c>
      <c r="D7636" s="8" t="str">
        <f>"9783839436158"</f>
        <v>9783839436158</v>
      </c>
    </row>
    <row r="7637" spans="1:4" ht="30" x14ac:dyDescent="0.25">
      <c r="A7637" s="7" t="s">
        <v>4027</v>
      </c>
      <c r="B7637" s="8" t="s">
        <v>4028</v>
      </c>
      <c r="C7637" s="8" t="s">
        <v>316</v>
      </c>
      <c r="D7637" s="8" t="str">
        <f>"9781501505393"</f>
        <v>9781501505393</v>
      </c>
    </row>
    <row r="7638" spans="1:4" ht="30" x14ac:dyDescent="0.25">
      <c r="A7638" s="7" t="s">
        <v>15795</v>
      </c>
      <c r="B7638" s="8" t="s">
        <v>15796</v>
      </c>
      <c r="C7638" s="8" t="s">
        <v>1865</v>
      </c>
      <c r="D7638" s="8" t="str">
        <f>"9789175197951"</f>
        <v>9789175197951</v>
      </c>
    </row>
    <row r="7639" spans="1:4" ht="30" x14ac:dyDescent="0.25">
      <c r="A7639" s="7" t="s">
        <v>3102</v>
      </c>
      <c r="B7639" s="8" t="s">
        <v>3103</v>
      </c>
      <c r="C7639" s="8" t="s">
        <v>1865</v>
      </c>
      <c r="D7639" s="8" t="str">
        <f>"9789176855720"</f>
        <v>9789176855720</v>
      </c>
    </row>
    <row r="7640" spans="1:4" ht="30" x14ac:dyDescent="0.25">
      <c r="A7640" s="7" t="s">
        <v>2771</v>
      </c>
      <c r="B7640" s="8" t="s">
        <v>2772</v>
      </c>
      <c r="C7640" s="8" t="s">
        <v>1345</v>
      </c>
      <c r="D7640" s="8" t="str">
        <f>"9783737600514"</f>
        <v>9783737600514</v>
      </c>
    </row>
    <row r="7641" spans="1:4" ht="30" x14ac:dyDescent="0.25">
      <c r="A7641" s="7" t="s">
        <v>14115</v>
      </c>
      <c r="B7641" s="8" t="s">
        <v>14116</v>
      </c>
      <c r="C7641" s="8" t="s">
        <v>355</v>
      </c>
      <c r="D7641" s="8" t="str">
        <f>"9783110688924"</f>
        <v>9783110688924</v>
      </c>
    </row>
    <row r="7642" spans="1:4" ht="30" x14ac:dyDescent="0.25">
      <c r="A7642" s="7" t="s">
        <v>12337</v>
      </c>
      <c r="B7642" s="8" t="s">
        <v>12338</v>
      </c>
      <c r="C7642" s="8" t="s">
        <v>993</v>
      </c>
      <c r="D7642" s="8" t="str">
        <f>"9783839461815"</f>
        <v>9783839461815</v>
      </c>
    </row>
    <row r="7643" spans="1:4" x14ac:dyDescent="0.25">
      <c r="A7643" s="7" t="s">
        <v>10536</v>
      </c>
      <c r="B7643" s="8" t="s">
        <v>10537</v>
      </c>
      <c r="C7643" s="8" t="s">
        <v>993</v>
      </c>
      <c r="D7643" s="8" t="str">
        <f>"9783839459256"</f>
        <v>9783839459256</v>
      </c>
    </row>
    <row r="7644" spans="1:4" ht="30" x14ac:dyDescent="0.25">
      <c r="A7644" s="7" t="s">
        <v>14372</v>
      </c>
      <c r="B7644" s="8" t="s">
        <v>14373</v>
      </c>
      <c r="C7644" s="8" t="s">
        <v>1879</v>
      </c>
      <c r="D7644" s="8" t="str">
        <f>"9781800644007"</f>
        <v>9781800644007</v>
      </c>
    </row>
    <row r="7645" spans="1:4" x14ac:dyDescent="0.25">
      <c r="A7645" s="7" t="s">
        <v>7336</v>
      </c>
      <c r="B7645" s="8" t="s">
        <v>7337</v>
      </c>
      <c r="C7645" s="8" t="s">
        <v>2273</v>
      </c>
      <c r="D7645" s="8" t="str">
        <f>"9783030798512"</f>
        <v>9783030798512</v>
      </c>
    </row>
    <row r="7646" spans="1:4" x14ac:dyDescent="0.25">
      <c r="A7646" s="7" t="s">
        <v>6102</v>
      </c>
      <c r="B7646" s="8" t="s">
        <v>6103</v>
      </c>
      <c r="C7646" s="8" t="s">
        <v>2273</v>
      </c>
      <c r="D7646" s="8" t="str">
        <f>"9783319040936"</f>
        <v>9783319040936</v>
      </c>
    </row>
    <row r="7647" spans="1:4" ht="30" x14ac:dyDescent="0.25">
      <c r="A7647" s="7" t="s">
        <v>4115</v>
      </c>
      <c r="B7647" s="8" t="s">
        <v>4116</v>
      </c>
      <c r="C7647" s="8" t="s">
        <v>316</v>
      </c>
      <c r="D7647" s="8" t="str">
        <f>"9781501505294"</f>
        <v>9781501505294</v>
      </c>
    </row>
    <row r="7648" spans="1:4" x14ac:dyDescent="0.25">
      <c r="A7648" s="7" t="s">
        <v>422</v>
      </c>
      <c r="B7648" s="8" t="s">
        <v>423</v>
      </c>
      <c r="C7648" s="8" t="s">
        <v>227</v>
      </c>
      <c r="D7648" s="8" t="str">
        <f>"9781847790613"</f>
        <v>9781847790613</v>
      </c>
    </row>
    <row r="7649" spans="1:4" x14ac:dyDescent="0.25">
      <c r="A7649" s="7" t="s">
        <v>6558</v>
      </c>
      <c r="B7649" s="8" t="s">
        <v>6559</v>
      </c>
      <c r="C7649" s="8" t="s">
        <v>2073</v>
      </c>
      <c r="D7649" s="8" t="str">
        <f>"9781438483306"</f>
        <v>9781438483306</v>
      </c>
    </row>
    <row r="7650" spans="1:4" ht="30" x14ac:dyDescent="0.25">
      <c r="A7650" s="7" t="s">
        <v>5522</v>
      </c>
      <c r="B7650" s="8" t="s">
        <v>5523</v>
      </c>
      <c r="C7650" s="8" t="s">
        <v>1865</v>
      </c>
      <c r="D7650" s="8" t="str">
        <f>"9789179297831"</f>
        <v>9789179297831</v>
      </c>
    </row>
    <row r="7651" spans="1:4" ht="30" x14ac:dyDescent="0.25">
      <c r="A7651" s="7" t="s">
        <v>5586</v>
      </c>
      <c r="B7651" s="8" t="s">
        <v>81</v>
      </c>
      <c r="C7651" s="8" t="s">
        <v>2273</v>
      </c>
      <c r="D7651" s="8" t="str">
        <f>"9783030579388"</f>
        <v>9783030579388</v>
      </c>
    </row>
    <row r="7652" spans="1:4" x14ac:dyDescent="0.25">
      <c r="A7652" s="7" t="s">
        <v>6321</v>
      </c>
      <c r="B7652" s="8" t="s">
        <v>6322</v>
      </c>
      <c r="C7652" s="8" t="s">
        <v>2273</v>
      </c>
      <c r="D7652" s="8" t="str">
        <f>"9783030428556"</f>
        <v>9783030428556</v>
      </c>
    </row>
    <row r="7653" spans="1:4" x14ac:dyDescent="0.25">
      <c r="A7653" s="7" t="s">
        <v>6323</v>
      </c>
      <c r="B7653" s="8" t="s">
        <v>6324</v>
      </c>
      <c r="C7653" s="8" t="s">
        <v>2273</v>
      </c>
      <c r="D7653" s="8" t="str">
        <f>"9783030546182"</f>
        <v>9783030546182</v>
      </c>
    </row>
    <row r="7654" spans="1:4" x14ac:dyDescent="0.25">
      <c r="A7654" s="7" t="s">
        <v>10849</v>
      </c>
      <c r="B7654" s="8" t="s">
        <v>5302</v>
      </c>
      <c r="C7654" s="8" t="s">
        <v>2273</v>
      </c>
      <c r="D7654" s="8" t="str">
        <f>"9783030868840"</f>
        <v>9783030868840</v>
      </c>
    </row>
    <row r="7655" spans="1:4" x14ac:dyDescent="0.25">
      <c r="A7655" s="7" t="s">
        <v>7326</v>
      </c>
      <c r="B7655" s="8" t="s">
        <v>7327</v>
      </c>
      <c r="C7655" s="8" t="s">
        <v>2273</v>
      </c>
      <c r="D7655" s="8" t="str">
        <f>"9783030645373"</f>
        <v>9783030645373</v>
      </c>
    </row>
    <row r="7656" spans="1:4" x14ac:dyDescent="0.25">
      <c r="A7656" s="7" t="s">
        <v>9158</v>
      </c>
      <c r="B7656" s="8" t="s">
        <v>9159</v>
      </c>
      <c r="C7656" s="8" t="s">
        <v>2273</v>
      </c>
      <c r="D7656" s="8" t="str">
        <f>"9783030910174"</f>
        <v>9783030910174</v>
      </c>
    </row>
    <row r="7657" spans="1:4" ht="30" x14ac:dyDescent="0.25">
      <c r="A7657" s="7" t="s">
        <v>2466</v>
      </c>
      <c r="B7657" s="8" t="s">
        <v>2467</v>
      </c>
      <c r="C7657" s="8" t="s">
        <v>1865</v>
      </c>
      <c r="D7657" s="8" t="str">
        <f>"9789176858981"</f>
        <v>9789176858981</v>
      </c>
    </row>
    <row r="7658" spans="1:4" x14ac:dyDescent="0.25">
      <c r="A7658" s="7" t="s">
        <v>653</v>
      </c>
      <c r="B7658" s="8" t="s">
        <v>654</v>
      </c>
      <c r="C7658" s="8" t="s">
        <v>562</v>
      </c>
      <c r="D7658" s="8" t="str">
        <f>"9780822395034"</f>
        <v>9780822395034</v>
      </c>
    </row>
    <row r="7659" spans="1:4" ht="30" x14ac:dyDescent="0.25">
      <c r="A7659" s="7" t="s">
        <v>1912</v>
      </c>
      <c r="B7659" s="8" t="s">
        <v>40</v>
      </c>
      <c r="C7659" s="8" t="s">
        <v>1879</v>
      </c>
      <c r="D7659" s="8" t="str">
        <f>"9781909254220"</f>
        <v>9781909254220</v>
      </c>
    </row>
    <row r="7660" spans="1:4" x14ac:dyDescent="0.25">
      <c r="A7660" s="7" t="s">
        <v>11038</v>
      </c>
      <c r="B7660" s="8" t="s">
        <v>11039</v>
      </c>
      <c r="C7660" s="8" t="s">
        <v>2273</v>
      </c>
      <c r="D7660" s="8" t="str">
        <f>"9783030981754"</f>
        <v>9783030981754</v>
      </c>
    </row>
    <row r="7661" spans="1:4" x14ac:dyDescent="0.25">
      <c r="A7661" s="7" t="s">
        <v>7071</v>
      </c>
      <c r="B7661" s="8" t="s">
        <v>7072</v>
      </c>
      <c r="C7661" s="8" t="s">
        <v>355</v>
      </c>
      <c r="D7661" s="8" t="str">
        <f>"9783110628715"</f>
        <v>9783110628715</v>
      </c>
    </row>
    <row r="7662" spans="1:4" x14ac:dyDescent="0.25">
      <c r="A7662" s="7" t="s">
        <v>10971</v>
      </c>
      <c r="B7662" s="8" t="s">
        <v>10972</v>
      </c>
      <c r="C7662" s="8" t="s">
        <v>9138</v>
      </c>
      <c r="D7662" s="8" t="str">
        <f>"9780520972100"</f>
        <v>9780520972100</v>
      </c>
    </row>
    <row r="7663" spans="1:4" ht="30" x14ac:dyDescent="0.25">
      <c r="A7663" s="7" t="s">
        <v>8035</v>
      </c>
      <c r="B7663" s="8" t="s">
        <v>8036</v>
      </c>
      <c r="C7663" s="8" t="s">
        <v>4882</v>
      </c>
      <c r="D7663" s="8" t="str">
        <f>"9781789622577"</f>
        <v>9781789622577</v>
      </c>
    </row>
    <row r="7664" spans="1:4" x14ac:dyDescent="0.25">
      <c r="A7664" s="7" t="s">
        <v>10279</v>
      </c>
      <c r="B7664" s="8" t="s">
        <v>8238</v>
      </c>
      <c r="C7664" s="8" t="s">
        <v>993</v>
      </c>
      <c r="D7664" s="8" t="str">
        <f>"9783839447413"</f>
        <v>9783839447413</v>
      </c>
    </row>
    <row r="7665" spans="1:4" x14ac:dyDescent="0.25">
      <c r="A7665" s="7" t="s">
        <v>6450</v>
      </c>
      <c r="B7665" s="8" t="s">
        <v>6451</v>
      </c>
      <c r="C7665" s="8" t="s">
        <v>1879</v>
      </c>
      <c r="D7665" s="8" t="str">
        <f>"9781783749102"</f>
        <v>9781783749102</v>
      </c>
    </row>
    <row r="7666" spans="1:4" x14ac:dyDescent="0.25">
      <c r="A7666" s="7" t="s">
        <v>476</v>
      </c>
      <c r="B7666" s="8" t="s">
        <v>477</v>
      </c>
      <c r="C7666" s="8" t="s">
        <v>316</v>
      </c>
      <c r="D7666" s="8" t="str">
        <f>"9783110263886"</f>
        <v>9783110263886</v>
      </c>
    </row>
    <row r="7667" spans="1:4" x14ac:dyDescent="0.25">
      <c r="A7667" s="7" t="s">
        <v>6043</v>
      </c>
      <c r="B7667" s="8" t="s">
        <v>6044</v>
      </c>
      <c r="C7667" s="8" t="s">
        <v>2273</v>
      </c>
      <c r="D7667" s="8" t="str">
        <f>"9783319405698"</f>
        <v>9783319405698</v>
      </c>
    </row>
    <row r="7668" spans="1:4" x14ac:dyDescent="0.25">
      <c r="A7668" s="7" t="s">
        <v>3182</v>
      </c>
      <c r="B7668" s="8" t="s">
        <v>3183</v>
      </c>
      <c r="C7668" s="8" t="s">
        <v>1865</v>
      </c>
      <c r="D7668" s="8" t="str">
        <f>"9789176855294"</f>
        <v>9789176855294</v>
      </c>
    </row>
    <row r="7669" spans="1:4" x14ac:dyDescent="0.25">
      <c r="A7669" s="7" t="s">
        <v>12636</v>
      </c>
      <c r="B7669" s="8" t="s">
        <v>12637</v>
      </c>
      <c r="C7669" s="8" t="s">
        <v>2274</v>
      </c>
      <c r="D7669" s="8" t="str">
        <f>"9789811947599"</f>
        <v>9789811947599</v>
      </c>
    </row>
    <row r="7670" spans="1:4" x14ac:dyDescent="0.25">
      <c r="A7670" s="7" t="s">
        <v>5100</v>
      </c>
      <c r="B7670" s="8" t="s">
        <v>5101</v>
      </c>
      <c r="C7670" s="8" t="s">
        <v>2273</v>
      </c>
      <c r="D7670" s="8" t="str">
        <f>"9783319735245"</f>
        <v>9783319735245</v>
      </c>
    </row>
    <row r="7671" spans="1:4" x14ac:dyDescent="0.25">
      <c r="A7671" s="7" t="s">
        <v>9029</v>
      </c>
      <c r="B7671" s="8" t="s">
        <v>5839</v>
      </c>
      <c r="C7671" s="8" t="s">
        <v>4245</v>
      </c>
      <c r="D7671" s="8" t="str">
        <f>"9789811677151"</f>
        <v>9789811677151</v>
      </c>
    </row>
    <row r="7672" spans="1:4" x14ac:dyDescent="0.25">
      <c r="A7672" s="7" t="s">
        <v>5197</v>
      </c>
      <c r="B7672" s="8" t="s">
        <v>5198</v>
      </c>
      <c r="C7672" s="8" t="s">
        <v>562</v>
      </c>
      <c r="D7672" s="8" t="str">
        <f>"9781478012320"</f>
        <v>9781478012320</v>
      </c>
    </row>
    <row r="7673" spans="1:4" x14ac:dyDescent="0.25">
      <c r="A7673" s="7" t="s">
        <v>4363</v>
      </c>
      <c r="B7673" s="8" t="s">
        <v>4364</v>
      </c>
      <c r="C7673" s="8" t="s">
        <v>329</v>
      </c>
      <c r="D7673" s="8" t="str">
        <f>"9789048535200"</f>
        <v>9789048535200</v>
      </c>
    </row>
    <row r="7674" spans="1:4" ht="30" x14ac:dyDescent="0.25">
      <c r="A7674" s="7" t="s">
        <v>5260</v>
      </c>
      <c r="B7674" s="8" t="s">
        <v>5261</v>
      </c>
      <c r="C7674" s="8" t="s">
        <v>2273</v>
      </c>
      <c r="D7674" s="8" t="str">
        <f>"9783319397542"</f>
        <v>9783319397542</v>
      </c>
    </row>
    <row r="7675" spans="1:4" x14ac:dyDescent="0.25">
      <c r="A7675" s="7" t="s">
        <v>3712</v>
      </c>
      <c r="B7675" s="8" t="s">
        <v>2788</v>
      </c>
      <c r="C7675" s="8" t="s">
        <v>316</v>
      </c>
      <c r="D7675" s="8" t="str">
        <f>"9781501516023"</f>
        <v>9781501516023</v>
      </c>
    </row>
    <row r="7676" spans="1:4" x14ac:dyDescent="0.25">
      <c r="A7676" s="7" t="s">
        <v>11713</v>
      </c>
      <c r="B7676" s="8" t="s">
        <v>2788</v>
      </c>
      <c r="C7676" s="8" t="s">
        <v>316</v>
      </c>
      <c r="D7676" s="8" t="str">
        <f>"9781501512971"</f>
        <v>9781501512971</v>
      </c>
    </row>
    <row r="7677" spans="1:4" x14ac:dyDescent="0.25">
      <c r="A7677" s="7" t="s">
        <v>10910</v>
      </c>
      <c r="B7677" s="8" t="s">
        <v>10911</v>
      </c>
      <c r="C7677" s="8" t="s">
        <v>316</v>
      </c>
      <c r="D7677" s="8" t="str">
        <f>"9781501507038"</f>
        <v>9781501507038</v>
      </c>
    </row>
    <row r="7678" spans="1:4" x14ac:dyDescent="0.25">
      <c r="A7678" s="7" t="s">
        <v>2323</v>
      </c>
      <c r="B7678" s="8" t="s">
        <v>2324</v>
      </c>
      <c r="C7678" s="8" t="s">
        <v>316</v>
      </c>
      <c r="D7678" s="8" t="str">
        <f>"9781501501890"</f>
        <v>9781501501890</v>
      </c>
    </row>
    <row r="7679" spans="1:4" x14ac:dyDescent="0.25">
      <c r="A7679" s="7" t="s">
        <v>2787</v>
      </c>
      <c r="B7679" s="8" t="s">
        <v>2788</v>
      </c>
      <c r="C7679" s="8" t="s">
        <v>316</v>
      </c>
      <c r="D7679" s="8" t="str">
        <f>"9781501501913"</f>
        <v>9781501501913</v>
      </c>
    </row>
    <row r="7680" spans="1:4" x14ac:dyDescent="0.25">
      <c r="A7680" s="7" t="s">
        <v>11432</v>
      </c>
      <c r="B7680" s="8" t="s">
        <v>11433</v>
      </c>
      <c r="C7680" s="8" t="s">
        <v>316</v>
      </c>
      <c r="D7680" s="8" t="str">
        <f>"9783110734690"</f>
        <v>9783110734690</v>
      </c>
    </row>
    <row r="7681" spans="1:4" x14ac:dyDescent="0.25">
      <c r="A7681" s="7" t="s">
        <v>3819</v>
      </c>
      <c r="B7681" s="8" t="s">
        <v>2324</v>
      </c>
      <c r="C7681" s="8" t="s">
        <v>316</v>
      </c>
      <c r="D7681" s="8" t="str">
        <f>"9781501503870"</f>
        <v>9781501503870</v>
      </c>
    </row>
    <row r="7682" spans="1:4" x14ac:dyDescent="0.25">
      <c r="A7682" s="7" t="s">
        <v>4525</v>
      </c>
      <c r="B7682" s="8" t="s">
        <v>4526</v>
      </c>
      <c r="C7682" s="8" t="s">
        <v>1879</v>
      </c>
      <c r="D7682" s="8" t="str">
        <f>"9781783747467"</f>
        <v>9781783747467</v>
      </c>
    </row>
    <row r="7683" spans="1:4" ht="30" x14ac:dyDescent="0.25">
      <c r="A7683" s="7" t="s">
        <v>10638</v>
      </c>
      <c r="B7683" s="8" t="s">
        <v>10639</v>
      </c>
      <c r="C7683" s="8" t="s">
        <v>2273</v>
      </c>
      <c r="D7683" s="8" t="str">
        <f>"9783030992569"</f>
        <v>9783030992569</v>
      </c>
    </row>
    <row r="7684" spans="1:4" x14ac:dyDescent="0.25">
      <c r="A7684" s="7" t="s">
        <v>434</v>
      </c>
      <c r="B7684" s="8" t="s">
        <v>435</v>
      </c>
      <c r="C7684" s="8" t="s">
        <v>227</v>
      </c>
      <c r="D7684" s="8" t="str">
        <f>"9781847790842"</f>
        <v>9781847790842</v>
      </c>
    </row>
    <row r="7685" spans="1:4" x14ac:dyDescent="0.25">
      <c r="A7685" s="7" t="s">
        <v>10284</v>
      </c>
      <c r="B7685" s="8" t="s">
        <v>10285</v>
      </c>
      <c r="C7685" s="8" t="s">
        <v>993</v>
      </c>
      <c r="D7685" s="8" t="str">
        <f>"9783839447628"</f>
        <v>9783839447628</v>
      </c>
    </row>
    <row r="7686" spans="1:4" x14ac:dyDescent="0.25">
      <c r="A7686" s="7" t="s">
        <v>12542</v>
      </c>
      <c r="B7686" s="8" t="s">
        <v>12543</v>
      </c>
      <c r="C7686" s="8" t="s">
        <v>2082</v>
      </c>
      <c r="D7686" s="8" t="str">
        <f>"9780472902989"</f>
        <v>9780472902989</v>
      </c>
    </row>
    <row r="7687" spans="1:4" ht="30" x14ac:dyDescent="0.25">
      <c r="A7687" s="7" t="s">
        <v>11873</v>
      </c>
      <c r="B7687" s="8" t="s">
        <v>11874</v>
      </c>
      <c r="C7687" s="8" t="s">
        <v>355</v>
      </c>
      <c r="D7687" s="8" t="str">
        <f>"9783110713626"</f>
        <v>9783110713626</v>
      </c>
    </row>
    <row r="7688" spans="1:4" x14ac:dyDescent="0.25">
      <c r="A7688" s="7" t="s">
        <v>6607</v>
      </c>
      <c r="B7688" s="8" t="s">
        <v>6608</v>
      </c>
      <c r="C7688" s="8" t="s">
        <v>2273</v>
      </c>
      <c r="D7688" s="8" t="str">
        <f>"9783030656171"</f>
        <v>9783030656171</v>
      </c>
    </row>
    <row r="7689" spans="1:4" x14ac:dyDescent="0.25">
      <c r="A7689" s="7" t="s">
        <v>12107</v>
      </c>
      <c r="B7689" s="8" t="s">
        <v>12108</v>
      </c>
      <c r="C7689" s="8" t="s">
        <v>355</v>
      </c>
      <c r="D7689" s="8" t="str">
        <f>"9783110655315"</f>
        <v>9783110655315</v>
      </c>
    </row>
    <row r="7690" spans="1:4" ht="30" x14ac:dyDescent="0.25">
      <c r="A7690" s="7" t="s">
        <v>11954</v>
      </c>
      <c r="B7690" s="8" t="s">
        <v>11955</v>
      </c>
      <c r="C7690" s="8" t="s">
        <v>355</v>
      </c>
      <c r="D7690" s="8" t="str">
        <f>"9783110601183"</f>
        <v>9783110601183</v>
      </c>
    </row>
    <row r="7691" spans="1:4" x14ac:dyDescent="0.25">
      <c r="A7691" s="7" t="s">
        <v>9862</v>
      </c>
      <c r="B7691" s="8" t="s">
        <v>9863</v>
      </c>
      <c r="C7691" s="8" t="s">
        <v>993</v>
      </c>
      <c r="D7691" s="8" t="str">
        <f>"9783839406816"</f>
        <v>9783839406816</v>
      </c>
    </row>
    <row r="7692" spans="1:4" x14ac:dyDescent="0.25">
      <c r="A7692" s="7" t="s">
        <v>4573</v>
      </c>
      <c r="B7692" s="8" t="s">
        <v>4574</v>
      </c>
      <c r="C7692" s="8" t="s">
        <v>1879</v>
      </c>
      <c r="D7692" s="8" t="str">
        <f>"9781783747061"</f>
        <v>9781783747061</v>
      </c>
    </row>
    <row r="7693" spans="1:4" ht="30" x14ac:dyDescent="0.25">
      <c r="A7693" s="7" t="s">
        <v>11434</v>
      </c>
      <c r="B7693" s="8" t="s">
        <v>7254</v>
      </c>
      <c r="C7693" s="8" t="s">
        <v>355</v>
      </c>
      <c r="D7693" s="8" t="str">
        <f>"9783110675788"</f>
        <v>9783110675788</v>
      </c>
    </row>
    <row r="7694" spans="1:4" x14ac:dyDescent="0.25">
      <c r="A7694" s="7" t="s">
        <v>250</v>
      </c>
      <c r="B7694" s="8" t="s">
        <v>251</v>
      </c>
      <c r="C7694" s="8" t="s">
        <v>227</v>
      </c>
      <c r="D7694" s="8" t="str">
        <f>"9781847790323"</f>
        <v>9781847790323</v>
      </c>
    </row>
    <row r="7695" spans="1:4" x14ac:dyDescent="0.25">
      <c r="A7695" s="7" t="s">
        <v>13959</v>
      </c>
      <c r="B7695" s="8" t="s">
        <v>13960</v>
      </c>
      <c r="C7695" s="8" t="s">
        <v>2273</v>
      </c>
      <c r="D7695" s="8" t="str">
        <f>"9783031207808"</f>
        <v>9783031207808</v>
      </c>
    </row>
    <row r="7696" spans="1:4" x14ac:dyDescent="0.25">
      <c r="A7696" s="7" t="s">
        <v>379</v>
      </c>
      <c r="B7696" s="8" t="s">
        <v>380</v>
      </c>
      <c r="C7696" s="8" t="s">
        <v>227</v>
      </c>
      <c r="D7696" s="8" t="str">
        <f>"9781847790668"</f>
        <v>9781847790668</v>
      </c>
    </row>
    <row r="7697" spans="1:4" x14ac:dyDescent="0.25">
      <c r="A7697" s="7" t="s">
        <v>4242</v>
      </c>
      <c r="B7697" s="8" t="s">
        <v>4243</v>
      </c>
      <c r="C7697" s="8" t="s">
        <v>1036</v>
      </c>
      <c r="D7697" s="8" t="str">
        <f>"9789027263186"</f>
        <v>9789027263186</v>
      </c>
    </row>
    <row r="7698" spans="1:4" ht="30" x14ac:dyDescent="0.25">
      <c r="A7698" s="7" t="s">
        <v>2293</v>
      </c>
      <c r="B7698" s="8" t="s">
        <v>2294</v>
      </c>
      <c r="C7698" s="8" t="s">
        <v>355</v>
      </c>
      <c r="D7698" s="8" t="str">
        <f>"9783110455311"</f>
        <v>9783110455311</v>
      </c>
    </row>
    <row r="7699" spans="1:4" ht="30" x14ac:dyDescent="0.25">
      <c r="A7699" s="7" t="s">
        <v>8687</v>
      </c>
      <c r="B7699" s="8" t="s">
        <v>8688</v>
      </c>
      <c r="C7699" s="8" t="s">
        <v>329</v>
      </c>
      <c r="D7699" s="8" t="str">
        <f>"9789048552566"</f>
        <v>9789048552566</v>
      </c>
    </row>
    <row r="7700" spans="1:4" ht="30" x14ac:dyDescent="0.25">
      <c r="A7700" s="7" t="s">
        <v>13564</v>
      </c>
      <c r="B7700" s="8" t="s">
        <v>13565</v>
      </c>
      <c r="C7700" s="8" t="s">
        <v>2273</v>
      </c>
      <c r="D7700" s="8" t="str">
        <f>"9783030987985"</f>
        <v>9783030987985</v>
      </c>
    </row>
    <row r="7701" spans="1:4" x14ac:dyDescent="0.25">
      <c r="A7701" s="7" t="s">
        <v>14369</v>
      </c>
      <c r="B7701" s="8" t="s">
        <v>14370</v>
      </c>
      <c r="C7701" s="8" t="s">
        <v>1879</v>
      </c>
      <c r="D7701" s="8" t="str">
        <f>"9781800644182"</f>
        <v>9781800644182</v>
      </c>
    </row>
    <row r="7702" spans="1:4" x14ac:dyDescent="0.25">
      <c r="A7702" s="7" t="s">
        <v>7161</v>
      </c>
      <c r="B7702" s="8" t="s">
        <v>7162</v>
      </c>
      <c r="C7702" s="8" t="s">
        <v>355</v>
      </c>
      <c r="D7702" s="8" t="str">
        <f>"9783110677065"</f>
        <v>9783110677065</v>
      </c>
    </row>
    <row r="7703" spans="1:4" x14ac:dyDescent="0.25">
      <c r="A7703" s="7" t="s">
        <v>1010</v>
      </c>
      <c r="B7703" s="8" t="s">
        <v>1011</v>
      </c>
      <c r="C7703" s="8" t="s">
        <v>329</v>
      </c>
      <c r="D7703" s="8" t="str">
        <f>"9789048522033"</f>
        <v>9789048522033</v>
      </c>
    </row>
    <row r="7704" spans="1:4" ht="30" x14ac:dyDescent="0.25">
      <c r="A7704" s="7" t="s">
        <v>8100</v>
      </c>
      <c r="B7704" s="8" t="s">
        <v>8101</v>
      </c>
      <c r="C7704" s="8" t="s">
        <v>4245</v>
      </c>
      <c r="D7704" s="8" t="str">
        <f>"9789811640797"</f>
        <v>9789811640797</v>
      </c>
    </row>
    <row r="7705" spans="1:4" x14ac:dyDescent="0.25">
      <c r="A7705" s="7" t="s">
        <v>9332</v>
      </c>
      <c r="B7705" s="8" t="s">
        <v>9263</v>
      </c>
      <c r="C7705" s="8" t="s">
        <v>9256</v>
      </c>
      <c r="D7705" s="8" t="str">
        <f>"9788021095564"</f>
        <v>9788021095564</v>
      </c>
    </row>
    <row r="7706" spans="1:4" x14ac:dyDescent="0.25">
      <c r="A7706" s="7" t="s">
        <v>11892</v>
      </c>
      <c r="B7706" s="8" t="s">
        <v>11893</v>
      </c>
      <c r="C7706" s="8" t="s">
        <v>316</v>
      </c>
      <c r="D7706" s="8" t="str">
        <f>"9783111479002"</f>
        <v>9783111479002</v>
      </c>
    </row>
    <row r="7707" spans="1:4" x14ac:dyDescent="0.25">
      <c r="A7707" s="7" t="s">
        <v>10973</v>
      </c>
      <c r="B7707" s="8" t="s">
        <v>10974</v>
      </c>
      <c r="C7707" s="8" t="s">
        <v>9138</v>
      </c>
      <c r="D7707" s="8" t="str">
        <f>"9780520969490"</f>
        <v>9780520969490</v>
      </c>
    </row>
    <row r="7708" spans="1:4" x14ac:dyDescent="0.25">
      <c r="A7708" s="7" t="s">
        <v>5636</v>
      </c>
      <c r="B7708" s="8" t="s">
        <v>5637</v>
      </c>
      <c r="C7708" s="8" t="s">
        <v>5484</v>
      </c>
      <c r="D7708" s="8" t="str">
        <f>"9781430263562"</f>
        <v>9781430263562</v>
      </c>
    </row>
    <row r="7709" spans="1:4" x14ac:dyDescent="0.25">
      <c r="A7709" s="7" t="s">
        <v>14644</v>
      </c>
      <c r="B7709" s="8" t="s">
        <v>14645</v>
      </c>
      <c r="C7709" s="8" t="s">
        <v>1865</v>
      </c>
      <c r="D7709" s="8" t="str">
        <f>"9789179297374"</f>
        <v>9789179297374</v>
      </c>
    </row>
    <row r="7710" spans="1:4" x14ac:dyDescent="0.25">
      <c r="A7710" s="7" t="s">
        <v>661</v>
      </c>
      <c r="B7710" s="8" t="s">
        <v>662</v>
      </c>
      <c r="C7710" s="8" t="s">
        <v>316</v>
      </c>
      <c r="D7710" s="8" t="str">
        <f>"9783110325904"</f>
        <v>9783110325904</v>
      </c>
    </row>
    <row r="7711" spans="1:4" ht="30" x14ac:dyDescent="0.25">
      <c r="A7711" s="7" t="s">
        <v>5998</v>
      </c>
      <c r="B7711" s="8" t="s">
        <v>5999</v>
      </c>
      <c r="C7711" s="8" t="s">
        <v>2273</v>
      </c>
      <c r="D7711" s="8" t="str">
        <f>"9783319126883"</f>
        <v>9783319126883</v>
      </c>
    </row>
    <row r="7712" spans="1:4" x14ac:dyDescent="0.25">
      <c r="A7712" s="7" t="s">
        <v>8324</v>
      </c>
      <c r="B7712" s="8" t="s">
        <v>8261</v>
      </c>
      <c r="C7712" s="8" t="s">
        <v>993</v>
      </c>
      <c r="D7712" s="8" t="str">
        <f>"9783839457030"</f>
        <v>9783839457030</v>
      </c>
    </row>
    <row r="7713" spans="1:4" x14ac:dyDescent="0.25">
      <c r="A7713" s="7" t="s">
        <v>10752</v>
      </c>
      <c r="B7713" s="8" t="s">
        <v>10753</v>
      </c>
      <c r="C7713" s="8" t="s">
        <v>1876</v>
      </c>
      <c r="D7713" s="8" t="str">
        <f>"9781921867057"</f>
        <v>9781921867057</v>
      </c>
    </row>
    <row r="7714" spans="1:4" x14ac:dyDescent="0.25">
      <c r="A7714" s="7" t="s">
        <v>7866</v>
      </c>
      <c r="B7714" s="8" t="s">
        <v>7867</v>
      </c>
      <c r="C7714" s="8" t="s">
        <v>2273</v>
      </c>
      <c r="D7714" s="8" t="str">
        <f>"9783030672454"</f>
        <v>9783030672454</v>
      </c>
    </row>
    <row r="7715" spans="1:4" x14ac:dyDescent="0.25">
      <c r="A7715" s="7" t="s">
        <v>4678</v>
      </c>
      <c r="B7715" s="8" t="s">
        <v>4679</v>
      </c>
      <c r="C7715" s="8" t="s">
        <v>1865</v>
      </c>
      <c r="D7715" s="8" t="str">
        <f>"9789175190129"</f>
        <v>9789175190129</v>
      </c>
    </row>
    <row r="7716" spans="1:4" x14ac:dyDescent="0.25">
      <c r="A7716" s="7" t="s">
        <v>590</v>
      </c>
      <c r="B7716" s="8" t="s">
        <v>591</v>
      </c>
      <c r="C7716" s="8" t="s">
        <v>562</v>
      </c>
      <c r="D7716" s="8" t="str">
        <f>"9780822391081"</f>
        <v>9780822391081</v>
      </c>
    </row>
    <row r="7717" spans="1:4" x14ac:dyDescent="0.25">
      <c r="A7717" s="7" t="s">
        <v>7286</v>
      </c>
      <c r="B7717" s="8" t="s">
        <v>7287</v>
      </c>
      <c r="C7717" s="8" t="s">
        <v>2273</v>
      </c>
      <c r="D7717" s="8" t="str">
        <f>"9783030717643"</f>
        <v>9783030717643</v>
      </c>
    </row>
    <row r="7718" spans="1:4" x14ac:dyDescent="0.25">
      <c r="A7718" s="7" t="s">
        <v>3014</v>
      </c>
      <c r="B7718" s="8" t="s">
        <v>14</v>
      </c>
      <c r="C7718" s="8" t="s">
        <v>355</v>
      </c>
      <c r="D7718" s="8" t="str">
        <f>"9783110473780"</f>
        <v>9783110473780</v>
      </c>
    </row>
    <row r="7719" spans="1:4" ht="30" x14ac:dyDescent="0.25">
      <c r="A7719" s="7" t="s">
        <v>3834</v>
      </c>
      <c r="B7719" s="8" t="s">
        <v>14</v>
      </c>
      <c r="C7719" s="8" t="s">
        <v>355</v>
      </c>
      <c r="D7719" s="8" t="str">
        <f>"9783110473858"</f>
        <v>9783110473858</v>
      </c>
    </row>
    <row r="7720" spans="1:4" x14ac:dyDescent="0.25">
      <c r="A7720" s="7" t="s">
        <v>8910</v>
      </c>
      <c r="B7720" s="8" t="s">
        <v>8911</v>
      </c>
      <c r="C7720" s="8" t="s">
        <v>2273</v>
      </c>
      <c r="D7720" s="8" t="str">
        <f>"9783030912727"</f>
        <v>9783030912727</v>
      </c>
    </row>
    <row r="7721" spans="1:4" x14ac:dyDescent="0.25">
      <c r="A7721" s="7" t="s">
        <v>4228</v>
      </c>
      <c r="B7721" s="8" t="s">
        <v>4229</v>
      </c>
      <c r="C7721" s="8" t="s">
        <v>562</v>
      </c>
      <c r="D7721" s="8" t="str">
        <f>"9780822372646"</f>
        <v>9780822372646</v>
      </c>
    </row>
    <row r="7722" spans="1:4" ht="30" x14ac:dyDescent="0.25">
      <c r="A7722" s="7" t="s">
        <v>3071</v>
      </c>
      <c r="B7722" s="8" t="s">
        <v>3072</v>
      </c>
      <c r="C7722" s="8" t="s">
        <v>1865</v>
      </c>
      <c r="D7722" s="8" t="str">
        <f>"9789176856031"</f>
        <v>9789176856031</v>
      </c>
    </row>
    <row r="7723" spans="1:4" ht="30" x14ac:dyDescent="0.25">
      <c r="A7723" s="7" t="s">
        <v>4102</v>
      </c>
      <c r="B7723" s="8" t="s">
        <v>4103</v>
      </c>
      <c r="C7723" s="8" t="s">
        <v>1879</v>
      </c>
      <c r="D7723" s="8" t="str">
        <f>"9781783745562"</f>
        <v>9781783745562</v>
      </c>
    </row>
    <row r="7724" spans="1:4" x14ac:dyDescent="0.25">
      <c r="A7724" s="7" t="s">
        <v>8473</v>
      </c>
      <c r="B7724" s="8" t="s">
        <v>8474</v>
      </c>
      <c r="C7724" s="8" t="s">
        <v>993</v>
      </c>
      <c r="D7724" s="8" t="str">
        <f>"9783839451144"</f>
        <v>9783839451144</v>
      </c>
    </row>
    <row r="7725" spans="1:4" x14ac:dyDescent="0.25">
      <c r="A7725" s="7" t="s">
        <v>9599</v>
      </c>
      <c r="B7725" s="8" t="s">
        <v>9600</v>
      </c>
      <c r="C7725" s="8" t="s">
        <v>9476</v>
      </c>
      <c r="D7725" s="8" t="str">
        <f>"9781800102224"</f>
        <v>9781800102224</v>
      </c>
    </row>
    <row r="7726" spans="1:4" ht="30" x14ac:dyDescent="0.25">
      <c r="A7726" s="7" t="s">
        <v>16013</v>
      </c>
      <c r="B7726" s="8" t="s">
        <v>16014</v>
      </c>
      <c r="C7726" s="8" t="s">
        <v>1865</v>
      </c>
      <c r="D7726" s="8" t="str">
        <f>"9789175199764"</f>
        <v>9789175199764</v>
      </c>
    </row>
    <row r="7727" spans="1:4" x14ac:dyDescent="0.25">
      <c r="A7727" s="7" t="s">
        <v>3275</v>
      </c>
      <c r="B7727" s="8" t="s">
        <v>3276</v>
      </c>
      <c r="C7727" s="8" t="s">
        <v>1865</v>
      </c>
      <c r="D7727" s="8" t="str">
        <f>"9789176856130"</f>
        <v>9789176856130</v>
      </c>
    </row>
    <row r="7728" spans="1:4" ht="30" x14ac:dyDescent="0.25">
      <c r="A7728" s="7" t="s">
        <v>15339</v>
      </c>
      <c r="B7728" s="8" t="s">
        <v>15340</v>
      </c>
      <c r="C7728" s="8" t="s">
        <v>1865</v>
      </c>
      <c r="D7728" s="8" t="str">
        <f>"9789175194257"</f>
        <v>9789175194257</v>
      </c>
    </row>
    <row r="7729" spans="1:4" x14ac:dyDescent="0.25">
      <c r="A7729" s="7" t="s">
        <v>12245</v>
      </c>
      <c r="B7729" s="8" t="s">
        <v>12246</v>
      </c>
      <c r="C7729" s="8" t="s">
        <v>2273</v>
      </c>
      <c r="D7729" s="8" t="str">
        <f>"9783030915971"</f>
        <v>9783030915971</v>
      </c>
    </row>
    <row r="7730" spans="1:4" x14ac:dyDescent="0.25">
      <c r="A7730" s="7" t="s">
        <v>5869</v>
      </c>
      <c r="B7730" s="8" t="s">
        <v>5870</v>
      </c>
      <c r="C7730" s="8" t="s">
        <v>2273</v>
      </c>
      <c r="D7730" s="8" t="str">
        <f>"9783319452647"</f>
        <v>9783319452647</v>
      </c>
    </row>
    <row r="7731" spans="1:4" x14ac:dyDescent="0.25">
      <c r="A7731" s="7" t="s">
        <v>10796</v>
      </c>
      <c r="B7731" s="8" t="s">
        <v>163</v>
      </c>
      <c r="C7731" s="8" t="s">
        <v>1876</v>
      </c>
      <c r="D7731" s="8" t="str">
        <f>"9781925495300"</f>
        <v>9781925495300</v>
      </c>
    </row>
    <row r="7732" spans="1:4" x14ac:dyDescent="0.25">
      <c r="A7732" s="7" t="s">
        <v>4533</v>
      </c>
      <c r="B7732" s="8" t="s">
        <v>4534</v>
      </c>
      <c r="C7732" s="8" t="s">
        <v>2073</v>
      </c>
      <c r="D7732" s="8" t="str">
        <f>"9781438475448"</f>
        <v>9781438475448</v>
      </c>
    </row>
    <row r="7733" spans="1:4" x14ac:dyDescent="0.25">
      <c r="A7733" s="7" t="s">
        <v>11657</v>
      </c>
      <c r="B7733" s="8" t="s">
        <v>11658</v>
      </c>
      <c r="C7733" s="8" t="s">
        <v>355</v>
      </c>
      <c r="D7733" s="8" t="str">
        <f>"9783110642032"</f>
        <v>9783110642032</v>
      </c>
    </row>
    <row r="7734" spans="1:4" ht="30" x14ac:dyDescent="0.25">
      <c r="A7734" s="7" t="s">
        <v>4271</v>
      </c>
      <c r="B7734" s="8" t="s">
        <v>4272</v>
      </c>
      <c r="C7734" s="8" t="s">
        <v>1865</v>
      </c>
      <c r="D7734" s="8" t="str">
        <f>"9789176851678"</f>
        <v>9789176851678</v>
      </c>
    </row>
    <row r="7735" spans="1:4" ht="30" x14ac:dyDescent="0.25">
      <c r="A7735" s="7" t="s">
        <v>14345</v>
      </c>
      <c r="B7735" s="8" t="s">
        <v>14346</v>
      </c>
      <c r="C7735" s="8" t="s">
        <v>329</v>
      </c>
      <c r="D7735" s="8" t="str">
        <f>"9789400604124"</f>
        <v>9789400604124</v>
      </c>
    </row>
    <row r="7736" spans="1:4" x14ac:dyDescent="0.25">
      <c r="A7736" s="7" t="s">
        <v>12221</v>
      </c>
      <c r="B7736" s="8" t="s">
        <v>12222</v>
      </c>
      <c r="C7736" s="8" t="s">
        <v>2273</v>
      </c>
      <c r="D7736" s="8" t="str">
        <f>"9783031080203"</f>
        <v>9783031080203</v>
      </c>
    </row>
    <row r="7737" spans="1:4" x14ac:dyDescent="0.25">
      <c r="A7737" s="7" t="s">
        <v>15078</v>
      </c>
      <c r="B7737" s="8" t="s">
        <v>7896</v>
      </c>
      <c r="C7737" s="8" t="s">
        <v>1865</v>
      </c>
      <c r="D7737" s="8" t="str">
        <f>"9789179299460"</f>
        <v>9789179299460</v>
      </c>
    </row>
    <row r="7738" spans="1:4" x14ac:dyDescent="0.25">
      <c r="A7738" s="7" t="s">
        <v>15699</v>
      </c>
      <c r="B7738" s="8" t="s">
        <v>15700</v>
      </c>
      <c r="C7738" s="8" t="s">
        <v>1865</v>
      </c>
      <c r="D7738" s="8" t="str">
        <f>"9789176852927"</f>
        <v>9789176852927</v>
      </c>
    </row>
    <row r="7739" spans="1:4" ht="30" x14ac:dyDescent="0.25">
      <c r="A7739" s="7" t="s">
        <v>15220</v>
      </c>
      <c r="B7739" s="8" t="s">
        <v>15221</v>
      </c>
      <c r="C7739" s="8" t="s">
        <v>1865</v>
      </c>
      <c r="D7739" s="8" t="str">
        <f>"9789176858257"</f>
        <v>9789176858257</v>
      </c>
    </row>
    <row r="7740" spans="1:4" x14ac:dyDescent="0.25">
      <c r="A7740" s="7" t="s">
        <v>16017</v>
      </c>
      <c r="B7740" s="8" t="s">
        <v>16018</v>
      </c>
      <c r="C7740" s="8" t="s">
        <v>1865</v>
      </c>
      <c r="D7740" s="8" t="str">
        <f>"9789175197227"</f>
        <v>9789175197227</v>
      </c>
    </row>
    <row r="7741" spans="1:4" x14ac:dyDescent="0.25">
      <c r="A7741" s="7" t="s">
        <v>16340</v>
      </c>
      <c r="B7741" s="8" t="s">
        <v>16341</v>
      </c>
      <c r="C7741" s="8" t="s">
        <v>1865</v>
      </c>
      <c r="D7741" s="8" t="str">
        <f>"9789175192208"</f>
        <v>9789175192208</v>
      </c>
    </row>
    <row r="7742" spans="1:4" ht="30" x14ac:dyDescent="0.25">
      <c r="A7742" s="7" t="s">
        <v>16098</v>
      </c>
      <c r="B7742" s="8" t="s">
        <v>16099</v>
      </c>
      <c r="C7742" s="8" t="s">
        <v>1865</v>
      </c>
      <c r="D7742" s="8" t="str">
        <f>"9789175199115"</f>
        <v>9789175199115</v>
      </c>
    </row>
    <row r="7743" spans="1:4" x14ac:dyDescent="0.25">
      <c r="A7743" s="7" t="s">
        <v>2833</v>
      </c>
      <c r="B7743" s="8"/>
      <c r="C7743" s="8"/>
      <c r="D7743" s="8"/>
    </row>
    <row r="7744" spans="1:4" x14ac:dyDescent="0.25">
      <c r="A7744" s="7" t="s">
        <v>11478</v>
      </c>
      <c r="B7744" s="8" t="s">
        <v>11479</v>
      </c>
      <c r="C7744" s="8" t="s">
        <v>316</v>
      </c>
      <c r="D7744" s="8" t="str">
        <f>"9783111655406"</f>
        <v>9783111655406</v>
      </c>
    </row>
    <row r="7745" spans="1:4" x14ac:dyDescent="0.25">
      <c r="A7745" s="7" t="s">
        <v>5049</v>
      </c>
      <c r="B7745" s="8" t="s">
        <v>5050</v>
      </c>
      <c r="C7745" s="8" t="s">
        <v>355</v>
      </c>
      <c r="D7745" s="8" t="str">
        <f>"9783110645125"</f>
        <v>9783110645125</v>
      </c>
    </row>
    <row r="7746" spans="1:4" x14ac:dyDescent="0.25">
      <c r="A7746" s="7" t="s">
        <v>14624</v>
      </c>
      <c r="B7746" s="8" t="s">
        <v>14625</v>
      </c>
      <c r="C7746" s="8" t="s">
        <v>1865</v>
      </c>
      <c r="D7746" s="8" t="str">
        <f>"9789179291891"</f>
        <v>9789179291891</v>
      </c>
    </row>
    <row r="7747" spans="1:4" x14ac:dyDescent="0.25">
      <c r="A7747" s="7" t="s">
        <v>3905</v>
      </c>
      <c r="B7747" s="8" t="s">
        <v>3906</v>
      </c>
      <c r="C7747" s="8" t="s">
        <v>355</v>
      </c>
      <c r="D7747" s="8" t="str">
        <f>"9783110526288"</f>
        <v>9783110526288</v>
      </c>
    </row>
    <row r="7748" spans="1:4" x14ac:dyDescent="0.25">
      <c r="A7748" s="7" t="s">
        <v>9016</v>
      </c>
      <c r="B7748" s="8" t="s">
        <v>9017</v>
      </c>
      <c r="C7748" s="8" t="s">
        <v>1224</v>
      </c>
      <c r="D7748" s="8" t="str">
        <f>"9781644690659"</f>
        <v>9781644690659</v>
      </c>
    </row>
    <row r="7749" spans="1:4" x14ac:dyDescent="0.25">
      <c r="A7749" s="7" t="s">
        <v>10964</v>
      </c>
      <c r="B7749" s="8" t="s">
        <v>10965</v>
      </c>
      <c r="C7749" s="8" t="s">
        <v>9138</v>
      </c>
      <c r="D7749" s="8" t="str">
        <f>"9780520970922"</f>
        <v>9780520970922</v>
      </c>
    </row>
    <row r="7750" spans="1:4" x14ac:dyDescent="0.25">
      <c r="A7750" s="7" t="s">
        <v>9235</v>
      </c>
      <c r="B7750" s="8" t="s">
        <v>9236</v>
      </c>
      <c r="C7750" s="8" t="s">
        <v>4245</v>
      </c>
      <c r="D7750" s="8" t="str">
        <f>"9789811677113"</f>
        <v>9789811677113</v>
      </c>
    </row>
    <row r="7751" spans="1:4" x14ac:dyDescent="0.25">
      <c r="A7751" s="7" t="s">
        <v>2176</v>
      </c>
      <c r="B7751" s="8" t="s">
        <v>2177</v>
      </c>
      <c r="C7751" s="8" t="s">
        <v>2168</v>
      </c>
      <c r="D7751" s="8" t="str">
        <f>"9780295805610"</f>
        <v>9780295805610</v>
      </c>
    </row>
    <row r="7752" spans="1:4" x14ac:dyDescent="0.25">
      <c r="A7752" s="7" t="s">
        <v>6393</v>
      </c>
      <c r="B7752" s="8" t="s">
        <v>6394</v>
      </c>
      <c r="C7752" s="8" t="s">
        <v>2273</v>
      </c>
      <c r="D7752" s="8" t="str">
        <f>"9783030582784"</f>
        <v>9783030582784</v>
      </c>
    </row>
    <row r="7753" spans="1:4" x14ac:dyDescent="0.25">
      <c r="A7753" s="7" t="s">
        <v>2149</v>
      </c>
      <c r="B7753" s="8" t="s">
        <v>2150</v>
      </c>
      <c r="C7753" s="8" t="s">
        <v>1879</v>
      </c>
      <c r="D7753" s="8" t="str">
        <f>"9781783741243"</f>
        <v>9781783741243</v>
      </c>
    </row>
    <row r="7754" spans="1:4" x14ac:dyDescent="0.25">
      <c r="A7754" s="7" t="s">
        <v>13404</v>
      </c>
      <c r="B7754" s="8" t="s">
        <v>13405</v>
      </c>
      <c r="C7754" s="8" t="s">
        <v>2273</v>
      </c>
      <c r="D7754" s="8" t="str">
        <f>"9783030958527"</f>
        <v>9783030958527</v>
      </c>
    </row>
    <row r="7755" spans="1:4" ht="30" x14ac:dyDescent="0.25">
      <c r="A7755" s="7" t="s">
        <v>5016</v>
      </c>
      <c r="B7755" s="8" t="s">
        <v>5017</v>
      </c>
      <c r="C7755" s="8" t="s">
        <v>355</v>
      </c>
      <c r="D7755" s="8" t="str">
        <f>"9783110664416"</f>
        <v>9783110664416</v>
      </c>
    </row>
    <row r="7756" spans="1:4" x14ac:dyDescent="0.25">
      <c r="A7756" s="7" t="s">
        <v>6465</v>
      </c>
      <c r="B7756" s="8" t="s">
        <v>6466</v>
      </c>
      <c r="C7756" s="8" t="s">
        <v>2273</v>
      </c>
      <c r="D7756" s="8" t="str">
        <f>"9783030542603"</f>
        <v>9783030542603</v>
      </c>
    </row>
    <row r="7757" spans="1:4" x14ac:dyDescent="0.25">
      <c r="A7757" s="7" t="s">
        <v>10748</v>
      </c>
      <c r="B7757" s="8" t="s">
        <v>10749</v>
      </c>
      <c r="C7757" s="8" t="s">
        <v>1876</v>
      </c>
      <c r="D7757" s="8" t="str">
        <f>"9781876924560"</f>
        <v>9781876924560</v>
      </c>
    </row>
    <row r="7758" spans="1:4" x14ac:dyDescent="0.25">
      <c r="A7758" s="7" t="s">
        <v>9032</v>
      </c>
      <c r="B7758" s="8" t="s">
        <v>9033</v>
      </c>
      <c r="C7758" s="8" t="s">
        <v>2273</v>
      </c>
      <c r="D7758" s="8" t="str">
        <f>"9783030868970"</f>
        <v>9783030868970</v>
      </c>
    </row>
    <row r="7759" spans="1:4" x14ac:dyDescent="0.25">
      <c r="A7759" s="7" t="s">
        <v>11094</v>
      </c>
      <c r="B7759" s="8" t="s">
        <v>11095</v>
      </c>
      <c r="C7759" s="8" t="s">
        <v>6707</v>
      </c>
      <c r="D7759" s="8" t="str">
        <f>"9780472902149"</f>
        <v>9780472902149</v>
      </c>
    </row>
    <row r="7760" spans="1:4" ht="30" x14ac:dyDescent="0.25">
      <c r="A7760" s="7" t="s">
        <v>15652</v>
      </c>
      <c r="B7760" s="8" t="s">
        <v>15653</v>
      </c>
      <c r="C7760" s="8" t="s">
        <v>1865</v>
      </c>
      <c r="D7760" s="8" t="str">
        <f>"9789175196893"</f>
        <v>9789175196893</v>
      </c>
    </row>
    <row r="7761" spans="1:4" ht="30" x14ac:dyDescent="0.25">
      <c r="A7761" s="7" t="s">
        <v>4073</v>
      </c>
      <c r="B7761" s="8" t="s">
        <v>4074</v>
      </c>
      <c r="C7761" s="8" t="s">
        <v>1865</v>
      </c>
      <c r="D7761" s="8" t="str">
        <f>"9789176852286"</f>
        <v>9789176852286</v>
      </c>
    </row>
    <row r="7762" spans="1:4" x14ac:dyDescent="0.25">
      <c r="A7762" s="7" t="s">
        <v>14719</v>
      </c>
      <c r="B7762" s="8" t="s">
        <v>14720</v>
      </c>
      <c r="C7762" s="8" t="s">
        <v>1865</v>
      </c>
      <c r="D7762" s="8" t="str">
        <f>"9789173934916"</f>
        <v>9789173934916</v>
      </c>
    </row>
    <row r="7763" spans="1:4" ht="30" x14ac:dyDescent="0.25">
      <c r="A7763" s="7" t="s">
        <v>14940</v>
      </c>
      <c r="B7763" s="8" t="s">
        <v>14941</v>
      </c>
      <c r="C7763" s="8" t="s">
        <v>1865</v>
      </c>
      <c r="D7763" s="8" t="str">
        <f>"9789176856987"</f>
        <v>9789176856987</v>
      </c>
    </row>
    <row r="7764" spans="1:4" x14ac:dyDescent="0.25">
      <c r="A7764" s="7" t="s">
        <v>5560</v>
      </c>
      <c r="B7764" s="8" t="s">
        <v>5561</v>
      </c>
      <c r="C7764" s="8" t="s">
        <v>1865</v>
      </c>
      <c r="D7764" s="8" t="str">
        <f>"9789179297909"</f>
        <v>9789179297909</v>
      </c>
    </row>
    <row r="7765" spans="1:4" ht="30" x14ac:dyDescent="0.25">
      <c r="A7765" s="7" t="s">
        <v>9996</v>
      </c>
      <c r="B7765" s="8" t="s">
        <v>8169</v>
      </c>
      <c r="C7765" s="8" t="s">
        <v>993</v>
      </c>
      <c r="D7765" s="8" t="str">
        <f>"9783839409640"</f>
        <v>9783839409640</v>
      </c>
    </row>
    <row r="7766" spans="1:4" x14ac:dyDescent="0.25">
      <c r="A7766" s="7" t="s">
        <v>10970</v>
      </c>
      <c r="B7766" s="8" t="s">
        <v>2399</v>
      </c>
      <c r="C7766" s="8" t="s">
        <v>9138</v>
      </c>
      <c r="D7766" s="8" t="str">
        <f>"9780520972483"</f>
        <v>9780520972483</v>
      </c>
    </row>
    <row r="7767" spans="1:4" x14ac:dyDescent="0.25">
      <c r="A7767" s="7" t="s">
        <v>11027</v>
      </c>
      <c r="B7767" s="8" t="s">
        <v>7287</v>
      </c>
      <c r="C7767" s="8" t="s">
        <v>2273</v>
      </c>
      <c r="D7767" s="8" t="str">
        <f>"9783030998080"</f>
        <v>9783030998080</v>
      </c>
    </row>
    <row r="7768" spans="1:4" ht="30" x14ac:dyDescent="0.25">
      <c r="A7768" s="7" t="s">
        <v>4048</v>
      </c>
      <c r="B7768" s="8" t="s">
        <v>4049</v>
      </c>
      <c r="C7768" s="8" t="s">
        <v>1865</v>
      </c>
      <c r="D7768" s="8" t="str">
        <f>"9789176852408"</f>
        <v>9789176852408</v>
      </c>
    </row>
    <row r="7769" spans="1:4" x14ac:dyDescent="0.25">
      <c r="A7769" s="7" t="s">
        <v>2202</v>
      </c>
      <c r="B7769" s="8" t="s">
        <v>2203</v>
      </c>
      <c r="C7769" s="8" t="s">
        <v>355</v>
      </c>
      <c r="D7769" s="8" t="str">
        <f>"9783110425260"</f>
        <v>9783110425260</v>
      </c>
    </row>
    <row r="7770" spans="1:4" x14ac:dyDescent="0.25">
      <c r="A7770" s="7" t="s">
        <v>606</v>
      </c>
      <c r="B7770" s="8" t="s">
        <v>607</v>
      </c>
      <c r="C7770" s="8" t="s">
        <v>562</v>
      </c>
      <c r="D7770" s="8" t="str">
        <f>"9780822392415"</f>
        <v>9780822392415</v>
      </c>
    </row>
    <row r="7771" spans="1:4" x14ac:dyDescent="0.25">
      <c r="A7771" s="7" t="s">
        <v>5317</v>
      </c>
      <c r="B7771" s="8" t="s">
        <v>5318</v>
      </c>
      <c r="C7771" s="8" t="s">
        <v>2273</v>
      </c>
      <c r="D7771" s="8" t="str">
        <f>"9783319002330"</f>
        <v>9783319002330</v>
      </c>
    </row>
    <row r="7772" spans="1:4" x14ac:dyDescent="0.25">
      <c r="A7772" s="7" t="s">
        <v>608</v>
      </c>
      <c r="B7772" s="8" t="s">
        <v>609</v>
      </c>
      <c r="C7772" s="8" t="s">
        <v>562</v>
      </c>
      <c r="D7772" s="8" t="str">
        <f>"9780822392378"</f>
        <v>9780822392378</v>
      </c>
    </row>
    <row r="7773" spans="1:4" ht="30" x14ac:dyDescent="0.25">
      <c r="A7773" s="7" t="s">
        <v>11134</v>
      </c>
      <c r="B7773" s="8" t="s">
        <v>11135</v>
      </c>
      <c r="C7773" s="8" t="s">
        <v>1876</v>
      </c>
      <c r="D7773" s="8" t="str">
        <f>"9780980361612"</f>
        <v>9780980361612</v>
      </c>
    </row>
    <row r="7774" spans="1:4" x14ac:dyDescent="0.25">
      <c r="A7774" s="7" t="s">
        <v>11581</v>
      </c>
      <c r="B7774" s="8" t="s">
        <v>11582</v>
      </c>
      <c r="C7774" s="8" t="s">
        <v>355</v>
      </c>
      <c r="D7774" s="8" t="str">
        <f>"9783110720358"</f>
        <v>9783110720358</v>
      </c>
    </row>
    <row r="7775" spans="1:4" x14ac:dyDescent="0.25">
      <c r="A7775" s="7" t="s">
        <v>5481</v>
      </c>
      <c r="B7775" s="8" t="s">
        <v>5482</v>
      </c>
      <c r="C7775" s="8" t="s">
        <v>2273</v>
      </c>
      <c r="D7775" s="8" t="str">
        <f>"9783030466367"</f>
        <v>9783030466367</v>
      </c>
    </row>
    <row r="7776" spans="1:4" x14ac:dyDescent="0.25">
      <c r="A7776" s="7" t="s">
        <v>6718</v>
      </c>
      <c r="B7776" s="8" t="s">
        <v>6719</v>
      </c>
      <c r="C7776" s="8" t="s">
        <v>6716</v>
      </c>
      <c r="D7776" s="8" t="str">
        <f>"9780472902019"</f>
        <v>9780472902019</v>
      </c>
    </row>
    <row r="7777" spans="1:4" x14ac:dyDescent="0.25">
      <c r="A7777" s="7" t="s">
        <v>16408</v>
      </c>
      <c r="B7777" s="8" t="s">
        <v>16409</v>
      </c>
      <c r="C7777" s="8" t="s">
        <v>329</v>
      </c>
      <c r="D7777" s="8" t="str">
        <f>"9789400600355"</f>
        <v>9789400600355</v>
      </c>
    </row>
    <row r="7778" spans="1:4" x14ac:dyDescent="0.25">
      <c r="A7778" s="7" t="s">
        <v>2172</v>
      </c>
      <c r="B7778" s="8" t="s">
        <v>2173</v>
      </c>
      <c r="C7778" s="8" t="s">
        <v>2168</v>
      </c>
      <c r="D7778" s="8" t="str">
        <f>"9780295801940"</f>
        <v>9780295801940</v>
      </c>
    </row>
    <row r="7779" spans="1:4" ht="30" x14ac:dyDescent="0.25">
      <c r="A7779" s="7" t="s">
        <v>7047</v>
      </c>
      <c r="B7779" s="8" t="s">
        <v>7048</v>
      </c>
      <c r="C7779" s="8" t="s">
        <v>329</v>
      </c>
      <c r="D7779" s="8" t="str">
        <f>"9789048537846"</f>
        <v>9789048537846</v>
      </c>
    </row>
    <row r="7780" spans="1:4" x14ac:dyDescent="0.25">
      <c r="A7780" s="7" t="s">
        <v>2339</v>
      </c>
      <c r="B7780" s="8" t="s">
        <v>2340</v>
      </c>
      <c r="C7780" s="8" t="s">
        <v>309</v>
      </c>
      <c r="D7780" s="8" t="str">
        <f>"9781439912720"</f>
        <v>9781439912720</v>
      </c>
    </row>
    <row r="7781" spans="1:4" x14ac:dyDescent="0.25">
      <c r="A7781" s="7" t="s">
        <v>11573</v>
      </c>
      <c r="B7781" s="8" t="s">
        <v>11574</v>
      </c>
      <c r="C7781" s="8" t="s">
        <v>316</v>
      </c>
      <c r="D7781" s="8" t="str">
        <f>"9783111543222"</f>
        <v>9783111543222</v>
      </c>
    </row>
    <row r="7782" spans="1:4" x14ac:dyDescent="0.25">
      <c r="A7782" s="7" t="s">
        <v>13988</v>
      </c>
      <c r="B7782" s="8" t="s">
        <v>13989</v>
      </c>
      <c r="C7782" s="8" t="s">
        <v>2273</v>
      </c>
      <c r="D7782" s="8" t="str">
        <f>"9783031156700"</f>
        <v>9783031156700</v>
      </c>
    </row>
    <row r="7783" spans="1:4" x14ac:dyDescent="0.25">
      <c r="A7783" s="7" t="s">
        <v>7193</v>
      </c>
      <c r="B7783" s="8" t="s">
        <v>7194</v>
      </c>
      <c r="C7783" s="8" t="s">
        <v>355</v>
      </c>
      <c r="D7783" s="8" t="str">
        <f>"9783110685008"</f>
        <v>9783110685008</v>
      </c>
    </row>
    <row r="7784" spans="1:4" x14ac:dyDescent="0.25">
      <c r="A7784" s="7" t="s">
        <v>7223</v>
      </c>
      <c r="B7784" s="8" t="s">
        <v>7194</v>
      </c>
      <c r="C7784" s="8" t="s">
        <v>355</v>
      </c>
      <c r="D7784" s="8" t="str">
        <f>"9783110685022"</f>
        <v>9783110685022</v>
      </c>
    </row>
    <row r="7785" spans="1:4" x14ac:dyDescent="0.25">
      <c r="A7785" s="7" t="s">
        <v>7312</v>
      </c>
      <c r="B7785" s="8" t="s">
        <v>7313</v>
      </c>
      <c r="C7785" s="8" t="s">
        <v>993</v>
      </c>
      <c r="D7785" s="8" t="str">
        <f>"9783839455593"</f>
        <v>9783839455593</v>
      </c>
    </row>
    <row r="7786" spans="1:4" x14ac:dyDescent="0.25">
      <c r="A7786" s="7" t="s">
        <v>1240</v>
      </c>
      <c r="B7786" s="8" t="s">
        <v>1241</v>
      </c>
      <c r="C7786" s="8" t="s">
        <v>1224</v>
      </c>
      <c r="D7786" s="8" t="str">
        <f>"9781618116789"</f>
        <v>9781618116789</v>
      </c>
    </row>
    <row r="7787" spans="1:4" x14ac:dyDescent="0.25">
      <c r="A7787" s="7" t="s">
        <v>15566</v>
      </c>
      <c r="B7787" s="8" t="s">
        <v>7875</v>
      </c>
      <c r="C7787" s="8" t="s">
        <v>1865</v>
      </c>
      <c r="D7787" s="8" t="str">
        <f>"9789176851081"</f>
        <v>9789176851081</v>
      </c>
    </row>
    <row r="7788" spans="1:4" x14ac:dyDescent="0.25">
      <c r="A7788" s="7" t="s">
        <v>5258</v>
      </c>
      <c r="B7788" s="8" t="s">
        <v>5259</v>
      </c>
      <c r="C7788" s="8" t="s">
        <v>2273</v>
      </c>
      <c r="D7788" s="8" t="str">
        <f>"9783319163574"</f>
        <v>9783319163574</v>
      </c>
    </row>
    <row r="7789" spans="1:4" ht="30" x14ac:dyDescent="0.25">
      <c r="A7789" s="7" t="s">
        <v>3655</v>
      </c>
      <c r="B7789" s="8" t="s">
        <v>3656</v>
      </c>
      <c r="C7789" s="8" t="s">
        <v>1865</v>
      </c>
      <c r="D7789" s="8" t="str">
        <f>"9789176852996"</f>
        <v>9789176852996</v>
      </c>
    </row>
    <row r="7790" spans="1:4" ht="30" x14ac:dyDescent="0.25">
      <c r="A7790" s="7" t="s">
        <v>8706</v>
      </c>
      <c r="B7790" s="8" t="s">
        <v>8707</v>
      </c>
      <c r="C7790" s="8" t="s">
        <v>1036</v>
      </c>
      <c r="D7790" s="8" t="str">
        <f>"9789027258489"</f>
        <v>9789027258489</v>
      </c>
    </row>
    <row r="7791" spans="1:4" x14ac:dyDescent="0.25">
      <c r="A7791" s="7" t="s">
        <v>1916</v>
      </c>
      <c r="B7791" s="8" t="s">
        <v>1917</v>
      </c>
      <c r="C7791" s="8" t="s">
        <v>1879</v>
      </c>
      <c r="D7791" s="8" t="str">
        <f>"9781906924171"</f>
        <v>9781906924171</v>
      </c>
    </row>
    <row r="7792" spans="1:4" ht="30" x14ac:dyDescent="0.25">
      <c r="A7792" s="7" t="s">
        <v>753</v>
      </c>
      <c r="B7792" s="8" t="s">
        <v>754</v>
      </c>
      <c r="C7792" s="8" t="s">
        <v>355</v>
      </c>
      <c r="D7792" s="8" t="str">
        <f>"9788376560502"</f>
        <v>9788376560502</v>
      </c>
    </row>
    <row r="7793" spans="1:4" x14ac:dyDescent="0.25">
      <c r="A7793" s="7" t="s">
        <v>11092</v>
      </c>
      <c r="B7793" s="8" t="s">
        <v>11093</v>
      </c>
      <c r="C7793" s="8" t="s">
        <v>6716</v>
      </c>
      <c r="D7793" s="8" t="str">
        <f>"9780472901593"</f>
        <v>9780472901593</v>
      </c>
    </row>
    <row r="7794" spans="1:4" x14ac:dyDescent="0.25">
      <c r="A7794" s="7" t="s">
        <v>10655</v>
      </c>
      <c r="B7794" s="8" t="s">
        <v>10656</v>
      </c>
      <c r="C7794" s="8" t="s">
        <v>2273</v>
      </c>
      <c r="D7794" s="8" t="str">
        <f>"9783030944032"</f>
        <v>9783030944032</v>
      </c>
    </row>
    <row r="7795" spans="1:4" x14ac:dyDescent="0.25">
      <c r="A7795" s="7" t="s">
        <v>1894</v>
      </c>
      <c r="B7795" s="8" t="s">
        <v>1895</v>
      </c>
      <c r="C7795" s="8" t="s">
        <v>1879</v>
      </c>
      <c r="D7795" s="8" t="str">
        <f>"9781906924324"</f>
        <v>9781906924324</v>
      </c>
    </row>
    <row r="7796" spans="1:4" x14ac:dyDescent="0.25">
      <c r="A7796" s="7" t="s">
        <v>383</v>
      </c>
      <c r="B7796" s="8" t="s">
        <v>384</v>
      </c>
      <c r="C7796" s="8" t="s">
        <v>227</v>
      </c>
      <c r="D7796" s="8" t="str">
        <f>"9781847790859"</f>
        <v>9781847790859</v>
      </c>
    </row>
    <row r="7797" spans="1:4" x14ac:dyDescent="0.25">
      <c r="A7797" s="7" t="s">
        <v>4860</v>
      </c>
      <c r="B7797" s="8" t="s">
        <v>4861</v>
      </c>
      <c r="C7797" s="8" t="s">
        <v>1879</v>
      </c>
      <c r="D7797" s="8" t="str">
        <f>"9781783746774"</f>
        <v>9781783746774</v>
      </c>
    </row>
    <row r="7798" spans="1:4" x14ac:dyDescent="0.25">
      <c r="A7798" s="7" t="s">
        <v>4862</v>
      </c>
      <c r="B7798" s="8" t="s">
        <v>4861</v>
      </c>
      <c r="C7798" s="8" t="s">
        <v>1879</v>
      </c>
      <c r="D7798" s="8" t="str">
        <f>"9781783748594"</f>
        <v>9781783748594</v>
      </c>
    </row>
    <row r="7799" spans="1:4" x14ac:dyDescent="0.25">
      <c r="A7799" s="7" t="s">
        <v>7649</v>
      </c>
      <c r="B7799" s="8" t="s">
        <v>7650</v>
      </c>
      <c r="C7799" s="8" t="s">
        <v>993</v>
      </c>
      <c r="D7799" s="8" t="str">
        <f>"9783839422168"</f>
        <v>9783839422168</v>
      </c>
    </row>
    <row r="7800" spans="1:4" x14ac:dyDescent="0.25">
      <c r="A7800" s="7" t="s">
        <v>2598</v>
      </c>
      <c r="B7800" s="8" t="s">
        <v>2599</v>
      </c>
      <c r="C7800" s="8" t="s">
        <v>1224</v>
      </c>
      <c r="D7800" s="8" t="str">
        <f>"9781618117038"</f>
        <v>9781618117038</v>
      </c>
    </row>
    <row r="7801" spans="1:4" x14ac:dyDescent="0.25">
      <c r="A7801" s="7" t="s">
        <v>10827</v>
      </c>
      <c r="B7801" s="8" t="s">
        <v>10828</v>
      </c>
      <c r="C7801" s="8" t="s">
        <v>1342</v>
      </c>
      <c r="D7801" s="8" t="str">
        <f>"9789633865828"</f>
        <v>9789633865828</v>
      </c>
    </row>
    <row r="7802" spans="1:4" x14ac:dyDescent="0.25">
      <c r="A7802" s="7" t="s">
        <v>399</v>
      </c>
      <c r="B7802" s="8" t="s">
        <v>400</v>
      </c>
      <c r="C7802" s="8" t="s">
        <v>227</v>
      </c>
      <c r="D7802" s="8" t="str">
        <f>"9781847790804"</f>
        <v>9781847790804</v>
      </c>
    </row>
    <row r="7803" spans="1:4" ht="30" x14ac:dyDescent="0.25">
      <c r="A7803" s="7" t="s">
        <v>8654</v>
      </c>
      <c r="B7803" s="8" t="s">
        <v>8655</v>
      </c>
      <c r="C7803" s="8" t="s">
        <v>1342</v>
      </c>
      <c r="D7803" s="8" t="str">
        <f>"9789633863640"</f>
        <v>9789633863640</v>
      </c>
    </row>
    <row r="7804" spans="1:4" x14ac:dyDescent="0.25">
      <c r="A7804" s="7" t="s">
        <v>9566</v>
      </c>
      <c r="B7804" s="8" t="s">
        <v>9567</v>
      </c>
      <c r="C7804" s="8" t="s">
        <v>4882</v>
      </c>
      <c r="D7804" s="8" t="str">
        <f>"9781789624229"</f>
        <v>9781789624229</v>
      </c>
    </row>
    <row r="7805" spans="1:4" x14ac:dyDescent="0.25">
      <c r="A7805" s="7" t="s">
        <v>592</v>
      </c>
      <c r="B7805" s="8" t="s">
        <v>593</v>
      </c>
      <c r="C7805" s="8" t="s">
        <v>562</v>
      </c>
      <c r="D7805" s="8" t="str">
        <f>"9780822390848"</f>
        <v>9780822390848</v>
      </c>
    </row>
    <row r="7806" spans="1:4" ht="30" x14ac:dyDescent="0.25">
      <c r="A7806" s="7" t="s">
        <v>4191</v>
      </c>
      <c r="B7806" s="8" t="s">
        <v>4192</v>
      </c>
      <c r="C7806" s="8" t="s">
        <v>329</v>
      </c>
      <c r="D7806" s="8" t="str">
        <f>"9789048537792"</f>
        <v>9789048537792</v>
      </c>
    </row>
    <row r="7807" spans="1:4" ht="30" x14ac:dyDescent="0.25">
      <c r="A7807" s="7" t="s">
        <v>10705</v>
      </c>
      <c r="B7807" s="8" t="s">
        <v>10706</v>
      </c>
      <c r="C7807" s="8" t="s">
        <v>4882</v>
      </c>
      <c r="D7807" s="8" t="str">
        <f>"9781786949547"</f>
        <v>9781786949547</v>
      </c>
    </row>
    <row r="7808" spans="1:4" x14ac:dyDescent="0.25">
      <c r="A7808" s="7" t="s">
        <v>390</v>
      </c>
      <c r="B7808" s="8" t="s">
        <v>391</v>
      </c>
      <c r="C7808" s="8" t="s">
        <v>227</v>
      </c>
      <c r="D7808" s="8" t="str">
        <f>"9781847790910"</f>
        <v>9781847790910</v>
      </c>
    </row>
    <row r="7809" spans="1:4" x14ac:dyDescent="0.25">
      <c r="A7809" s="7" t="s">
        <v>272</v>
      </c>
      <c r="B7809" s="8" t="s">
        <v>273</v>
      </c>
      <c r="C7809" s="8" t="s">
        <v>227</v>
      </c>
      <c r="D7809" s="8" t="str">
        <f>"9781847790385"</f>
        <v>9781847790385</v>
      </c>
    </row>
    <row r="7810" spans="1:4" ht="30" x14ac:dyDescent="0.25">
      <c r="A7810" s="7" t="s">
        <v>2629</v>
      </c>
      <c r="B7810" s="8" t="s">
        <v>2630</v>
      </c>
      <c r="C7810" s="8" t="s">
        <v>1879</v>
      </c>
      <c r="D7810" s="8" t="str">
        <f>"9781783742202"</f>
        <v>9781783742202</v>
      </c>
    </row>
    <row r="7811" spans="1:4" x14ac:dyDescent="0.25">
      <c r="A7811" s="7" t="s">
        <v>4230</v>
      </c>
      <c r="B7811" s="8" t="s">
        <v>4231</v>
      </c>
      <c r="C7811" s="8" t="s">
        <v>329</v>
      </c>
      <c r="D7811" s="8" t="str">
        <f>"9789048539055"</f>
        <v>9789048539055</v>
      </c>
    </row>
    <row r="7812" spans="1:4" x14ac:dyDescent="0.25">
      <c r="A7812" s="7" t="s">
        <v>16307</v>
      </c>
      <c r="B7812" s="8" t="s">
        <v>15283</v>
      </c>
      <c r="C7812" s="8" t="s">
        <v>1865</v>
      </c>
      <c r="D7812" s="8" t="str">
        <f>"9789176859070"</f>
        <v>9789176859070</v>
      </c>
    </row>
    <row r="7813" spans="1:4" x14ac:dyDescent="0.25">
      <c r="A7813" s="7" t="s">
        <v>6843</v>
      </c>
      <c r="B7813" s="8" t="s">
        <v>6844</v>
      </c>
      <c r="C7813" s="8" t="s">
        <v>1865</v>
      </c>
      <c r="D7813" s="8" t="str">
        <f>"9789179296858"</f>
        <v>9789179296858</v>
      </c>
    </row>
    <row r="7814" spans="1:4" x14ac:dyDescent="0.25">
      <c r="A7814" s="7" t="s">
        <v>8855</v>
      </c>
      <c r="B7814" s="8" t="s">
        <v>8856</v>
      </c>
      <c r="C7814" s="8" t="s">
        <v>1865</v>
      </c>
      <c r="D7814" s="8" t="str">
        <f>"9789179291174"</f>
        <v>9789179291174</v>
      </c>
    </row>
    <row r="7815" spans="1:4" ht="30" x14ac:dyDescent="0.25">
      <c r="A7815" s="7" t="s">
        <v>921</v>
      </c>
      <c r="B7815" s="8" t="s">
        <v>922</v>
      </c>
      <c r="C7815" s="8" t="s">
        <v>562</v>
      </c>
      <c r="D7815" s="8" t="str">
        <f>"9780822376132"</f>
        <v>9780822376132</v>
      </c>
    </row>
    <row r="7816" spans="1:4" x14ac:dyDescent="0.25">
      <c r="A7816" s="7" t="s">
        <v>438</v>
      </c>
      <c r="B7816" s="8" t="s">
        <v>439</v>
      </c>
      <c r="C7816" s="8" t="s">
        <v>227</v>
      </c>
      <c r="D7816" s="8" t="str">
        <f>"9781847790972"</f>
        <v>9781847790972</v>
      </c>
    </row>
    <row r="7817" spans="1:4" x14ac:dyDescent="0.25">
      <c r="A7817" s="7" t="s">
        <v>6293</v>
      </c>
      <c r="B7817" s="8" t="s">
        <v>6294</v>
      </c>
      <c r="C7817" s="8" t="s">
        <v>329</v>
      </c>
      <c r="D7817" s="8" t="str">
        <f>"9789048551064"</f>
        <v>9789048551064</v>
      </c>
    </row>
    <row r="7818" spans="1:4" x14ac:dyDescent="0.25">
      <c r="A7818" s="7" t="s">
        <v>13668</v>
      </c>
      <c r="B7818" s="8" t="s">
        <v>13669</v>
      </c>
      <c r="C7818" s="8" t="s">
        <v>2273</v>
      </c>
      <c r="D7818" s="8" t="str">
        <f>"9783030765057"</f>
        <v>9783030765057</v>
      </c>
    </row>
    <row r="7819" spans="1:4" ht="30" x14ac:dyDescent="0.25">
      <c r="A7819" s="7" t="s">
        <v>11022</v>
      </c>
      <c r="B7819" s="8" t="s">
        <v>2676</v>
      </c>
      <c r="C7819" s="8" t="s">
        <v>1879</v>
      </c>
      <c r="D7819" s="8" t="str">
        <f>"9781800643345"</f>
        <v>9781800643345</v>
      </c>
    </row>
    <row r="7820" spans="1:4" x14ac:dyDescent="0.25">
      <c r="A7820" s="7" t="s">
        <v>9162</v>
      </c>
      <c r="B7820" s="8" t="s">
        <v>9163</v>
      </c>
      <c r="C7820" s="8" t="s">
        <v>4245</v>
      </c>
      <c r="D7820" s="8" t="str">
        <f>"9789811680281"</f>
        <v>9789811680281</v>
      </c>
    </row>
    <row r="7821" spans="1:4" x14ac:dyDescent="0.25">
      <c r="A7821" s="7" t="s">
        <v>12079</v>
      </c>
      <c r="B7821" s="8" t="s">
        <v>12080</v>
      </c>
      <c r="C7821" s="8" t="s">
        <v>355</v>
      </c>
      <c r="D7821" s="8" t="str">
        <f>"9783110706833"</f>
        <v>9783110706833</v>
      </c>
    </row>
    <row r="7822" spans="1:4" x14ac:dyDescent="0.25">
      <c r="A7822" s="7" t="s">
        <v>4816</v>
      </c>
      <c r="B7822" s="8" t="s">
        <v>4817</v>
      </c>
      <c r="C7822" s="8" t="s">
        <v>1879</v>
      </c>
      <c r="D7822" s="8" t="str">
        <f>"9781783748297"</f>
        <v>9781783748297</v>
      </c>
    </row>
    <row r="7823" spans="1:4" x14ac:dyDescent="0.25">
      <c r="A7823" s="7" t="s">
        <v>8495</v>
      </c>
      <c r="B7823" s="8" t="s">
        <v>8496</v>
      </c>
      <c r="C7823" s="8" t="s">
        <v>993</v>
      </c>
      <c r="D7823" s="8" t="str">
        <f>"9783839457290"</f>
        <v>9783839457290</v>
      </c>
    </row>
    <row r="7824" spans="1:4" x14ac:dyDescent="0.25">
      <c r="A7824" s="7" t="s">
        <v>2313</v>
      </c>
      <c r="B7824" s="8" t="s">
        <v>2314</v>
      </c>
      <c r="C7824" s="8" t="s">
        <v>355</v>
      </c>
      <c r="D7824" s="8" t="str">
        <f>"9783110450521"</f>
        <v>9783110450521</v>
      </c>
    </row>
    <row r="7825" spans="1:4" x14ac:dyDescent="0.25">
      <c r="A7825" s="7" t="s">
        <v>9539</v>
      </c>
      <c r="B7825" s="8" t="s">
        <v>9540</v>
      </c>
      <c r="C7825" s="8" t="s">
        <v>2073</v>
      </c>
      <c r="D7825" s="8" t="str">
        <f>"9781438488059"</f>
        <v>9781438488059</v>
      </c>
    </row>
    <row r="7826" spans="1:4" x14ac:dyDescent="0.25">
      <c r="A7826" s="7" t="s">
        <v>8089</v>
      </c>
      <c r="B7826" s="8" t="s">
        <v>8090</v>
      </c>
      <c r="C7826" s="8" t="s">
        <v>6716</v>
      </c>
      <c r="D7826" s="8" t="str">
        <f>"9780472901418"</f>
        <v>9780472901418</v>
      </c>
    </row>
    <row r="7827" spans="1:4" x14ac:dyDescent="0.25">
      <c r="A7827" s="7" t="s">
        <v>7093</v>
      </c>
      <c r="B7827" s="8" t="s">
        <v>7094</v>
      </c>
      <c r="C7827" s="8" t="s">
        <v>329</v>
      </c>
      <c r="D7827" s="8" t="str">
        <f>"9789048540020"</f>
        <v>9789048540020</v>
      </c>
    </row>
    <row r="7828" spans="1:4" x14ac:dyDescent="0.25">
      <c r="A7828" s="7" t="s">
        <v>1325</v>
      </c>
      <c r="B7828" s="8" t="s">
        <v>1326</v>
      </c>
      <c r="C7828" s="8" t="s">
        <v>1224</v>
      </c>
      <c r="D7828" s="8" t="str">
        <f>"9781618117083"</f>
        <v>9781618117083</v>
      </c>
    </row>
    <row r="7829" spans="1:4" x14ac:dyDescent="0.25">
      <c r="A7829" s="7" t="s">
        <v>990</v>
      </c>
      <c r="B7829" s="8" t="s">
        <v>991</v>
      </c>
      <c r="C7829" s="8" t="s">
        <v>329</v>
      </c>
      <c r="D7829" s="8" t="str">
        <f>"9789048523009"</f>
        <v>9789048523009</v>
      </c>
    </row>
    <row r="7830" spans="1:4" x14ac:dyDescent="0.25">
      <c r="A7830" s="7" t="s">
        <v>9615</v>
      </c>
      <c r="B7830" s="8" t="s">
        <v>9607</v>
      </c>
      <c r="C7830" s="8" t="s">
        <v>9476</v>
      </c>
      <c r="D7830" s="8" t="str">
        <f>"9781580466134"</f>
        <v>9781580466134</v>
      </c>
    </row>
    <row r="7831" spans="1:4" x14ac:dyDescent="0.25">
      <c r="A7831" s="7" t="s">
        <v>3796</v>
      </c>
      <c r="B7831" s="8" t="s">
        <v>3797</v>
      </c>
      <c r="C7831" s="8" t="s">
        <v>355</v>
      </c>
      <c r="D7831" s="8" t="str">
        <f>"9781501504518"</f>
        <v>9781501504518</v>
      </c>
    </row>
    <row r="7832" spans="1:4" x14ac:dyDescent="0.25">
      <c r="A7832" s="7" t="s">
        <v>659</v>
      </c>
      <c r="B7832" s="8" t="s">
        <v>660</v>
      </c>
      <c r="C7832" s="8" t="s">
        <v>355</v>
      </c>
      <c r="D7832" s="8" t="str">
        <f>"9783110320268"</f>
        <v>9783110320268</v>
      </c>
    </row>
    <row r="7833" spans="1:4" x14ac:dyDescent="0.25">
      <c r="A7833" s="7" t="s">
        <v>5603</v>
      </c>
      <c r="B7833" s="8" t="s">
        <v>5604</v>
      </c>
      <c r="C7833" s="8" t="s">
        <v>2273</v>
      </c>
      <c r="D7833" s="8" t="str">
        <f>"9783030498252"</f>
        <v>9783030498252</v>
      </c>
    </row>
    <row r="7834" spans="1:4" ht="30" x14ac:dyDescent="0.25">
      <c r="A7834" s="7" t="s">
        <v>12166</v>
      </c>
      <c r="B7834" s="8" t="s">
        <v>12167</v>
      </c>
      <c r="C7834" s="8" t="s">
        <v>355</v>
      </c>
      <c r="D7834" s="8" t="str">
        <f>"9783110771800"</f>
        <v>9783110771800</v>
      </c>
    </row>
    <row r="7835" spans="1:4" x14ac:dyDescent="0.25">
      <c r="A7835" s="7" t="s">
        <v>7804</v>
      </c>
      <c r="B7835" s="8" t="s">
        <v>7805</v>
      </c>
      <c r="C7835" s="8" t="s">
        <v>2082</v>
      </c>
      <c r="D7835" s="8" t="str">
        <f>"9780472128631"</f>
        <v>9780472128631</v>
      </c>
    </row>
    <row r="7836" spans="1:4" x14ac:dyDescent="0.25">
      <c r="A7836" s="7" t="s">
        <v>6989</v>
      </c>
      <c r="B7836" s="8" t="s">
        <v>6990</v>
      </c>
      <c r="C7836" s="8" t="s">
        <v>355</v>
      </c>
      <c r="D7836" s="8" t="str">
        <f>"9783110622034"</f>
        <v>9783110622034</v>
      </c>
    </row>
    <row r="7837" spans="1:4" x14ac:dyDescent="0.25">
      <c r="A7837" s="7" t="s">
        <v>3925</v>
      </c>
      <c r="B7837" s="8" t="s">
        <v>3926</v>
      </c>
      <c r="C7837" s="8" t="s">
        <v>355</v>
      </c>
      <c r="D7837" s="8" t="str">
        <f>"9783110527094"</f>
        <v>9783110527094</v>
      </c>
    </row>
    <row r="7838" spans="1:4" x14ac:dyDescent="0.25">
      <c r="A7838" s="7" t="s">
        <v>11293</v>
      </c>
      <c r="B7838" s="8" t="s">
        <v>11294</v>
      </c>
      <c r="C7838" s="8" t="s">
        <v>355</v>
      </c>
      <c r="D7838" s="8" t="str">
        <f>"9783110716559"</f>
        <v>9783110716559</v>
      </c>
    </row>
    <row r="7839" spans="1:4" x14ac:dyDescent="0.25">
      <c r="A7839" s="7" t="s">
        <v>2752</v>
      </c>
      <c r="B7839" s="8" t="s">
        <v>2753</v>
      </c>
      <c r="C7839" s="8" t="s">
        <v>1879</v>
      </c>
      <c r="D7839" s="8" t="str">
        <f>"9781783742608"</f>
        <v>9781783742608</v>
      </c>
    </row>
    <row r="7840" spans="1:4" x14ac:dyDescent="0.25">
      <c r="A7840" s="7" t="s">
        <v>3790</v>
      </c>
      <c r="B7840" s="8" t="s">
        <v>55</v>
      </c>
      <c r="C7840" s="8" t="s">
        <v>355</v>
      </c>
      <c r="D7840" s="8" t="str">
        <f>"9783110536881"</f>
        <v>9783110536881</v>
      </c>
    </row>
    <row r="7841" spans="1:4" x14ac:dyDescent="0.25">
      <c r="A7841" s="7" t="s">
        <v>4748</v>
      </c>
      <c r="B7841" s="8" t="s">
        <v>4749</v>
      </c>
      <c r="C7841" s="8" t="s">
        <v>562</v>
      </c>
      <c r="D7841" s="8" t="str">
        <f>"9781478007500"</f>
        <v>9781478007500</v>
      </c>
    </row>
    <row r="7842" spans="1:4" ht="30" x14ac:dyDescent="0.25">
      <c r="A7842" s="7" t="s">
        <v>8880</v>
      </c>
      <c r="B7842" s="8" t="s">
        <v>8881</v>
      </c>
      <c r="C7842" s="8" t="s">
        <v>5086</v>
      </c>
      <c r="D7842" s="8" t="str">
        <f>"9783658356897"</f>
        <v>9783658356897</v>
      </c>
    </row>
    <row r="7843" spans="1:4" x14ac:dyDescent="0.25">
      <c r="A7843" s="7" t="s">
        <v>1583</v>
      </c>
      <c r="B7843" s="8" t="s">
        <v>1584</v>
      </c>
      <c r="C7843" s="8" t="s">
        <v>1345</v>
      </c>
      <c r="D7843" s="8" t="str">
        <f>"9783862193578"</f>
        <v>9783862193578</v>
      </c>
    </row>
    <row r="7844" spans="1:4" x14ac:dyDescent="0.25">
      <c r="A7844" s="7" t="s">
        <v>736</v>
      </c>
      <c r="B7844" s="8" t="s">
        <v>4</v>
      </c>
      <c r="C7844" s="8" t="s">
        <v>355</v>
      </c>
      <c r="D7844" s="8" t="str">
        <f>"9783110298437"</f>
        <v>9783110298437</v>
      </c>
    </row>
    <row r="7845" spans="1:4" x14ac:dyDescent="0.25">
      <c r="A7845" s="7" t="s">
        <v>345</v>
      </c>
      <c r="B7845" s="8" t="s">
        <v>4</v>
      </c>
      <c r="C7845" s="8" t="s">
        <v>316</v>
      </c>
      <c r="D7845" s="8" t="str">
        <f>"9783598441363"</f>
        <v>9783598441363</v>
      </c>
    </row>
    <row r="7846" spans="1:4" ht="30" x14ac:dyDescent="0.25">
      <c r="A7846" s="7" t="s">
        <v>14856</v>
      </c>
      <c r="B7846" s="8" t="s">
        <v>123</v>
      </c>
      <c r="C7846" s="8" t="s">
        <v>1865</v>
      </c>
      <c r="D7846" s="8" t="str">
        <f>"9789175198651"</f>
        <v>9789175198651</v>
      </c>
    </row>
    <row r="7847" spans="1:4" ht="30" x14ac:dyDescent="0.25">
      <c r="A7847" s="7" t="s">
        <v>4393</v>
      </c>
      <c r="B7847" s="8" t="s">
        <v>4394</v>
      </c>
      <c r="C7847" s="8" t="s">
        <v>1865</v>
      </c>
      <c r="D7847" s="8" t="str">
        <f>"9789176851142"</f>
        <v>9789176851142</v>
      </c>
    </row>
    <row r="7848" spans="1:4" x14ac:dyDescent="0.25">
      <c r="A7848" s="7" t="s">
        <v>4778</v>
      </c>
      <c r="B7848" s="8" t="s">
        <v>4779</v>
      </c>
      <c r="C7848" s="8" t="s">
        <v>1865</v>
      </c>
      <c r="D7848" s="8" t="str">
        <f>"9789179299644"</f>
        <v>9789179299644</v>
      </c>
    </row>
    <row r="7849" spans="1:4" x14ac:dyDescent="0.25">
      <c r="A7849" s="7" t="s">
        <v>4658</v>
      </c>
      <c r="B7849" s="8" t="s">
        <v>4659</v>
      </c>
      <c r="C7849" s="8" t="s">
        <v>2273</v>
      </c>
      <c r="D7849" s="8" t="str">
        <f>"9783030184803"</f>
        <v>9783030184803</v>
      </c>
    </row>
    <row r="7850" spans="1:4" ht="30" x14ac:dyDescent="0.25">
      <c r="A7850" s="7" t="s">
        <v>16262</v>
      </c>
      <c r="B7850" s="8" t="s">
        <v>14759</v>
      </c>
      <c r="C7850" s="8" t="s">
        <v>1865</v>
      </c>
      <c r="D7850" s="8" t="str">
        <f>"9789176857625"</f>
        <v>9789176857625</v>
      </c>
    </row>
    <row r="7851" spans="1:4" x14ac:dyDescent="0.25">
      <c r="A7851" s="7" t="s">
        <v>4942</v>
      </c>
      <c r="B7851" s="8" t="s">
        <v>4943</v>
      </c>
      <c r="C7851" s="8" t="s">
        <v>1865</v>
      </c>
      <c r="D7851" s="8" t="str">
        <f>"9789179298715"</f>
        <v>9789179298715</v>
      </c>
    </row>
    <row r="7852" spans="1:4" x14ac:dyDescent="0.25">
      <c r="A7852" s="7" t="s">
        <v>15633</v>
      </c>
      <c r="B7852" s="8" t="s">
        <v>15634</v>
      </c>
      <c r="C7852" s="8" t="s">
        <v>1865</v>
      </c>
      <c r="D7852" s="8" t="str">
        <f>"9789175198859"</f>
        <v>9789175198859</v>
      </c>
    </row>
    <row r="7853" spans="1:4" x14ac:dyDescent="0.25">
      <c r="A7853" s="7" t="s">
        <v>13973</v>
      </c>
      <c r="B7853" s="8" t="s">
        <v>13974</v>
      </c>
      <c r="C7853" s="8" t="s">
        <v>2273</v>
      </c>
      <c r="D7853" s="8" t="str">
        <f>"9783031087974"</f>
        <v>9783031087974</v>
      </c>
    </row>
    <row r="7854" spans="1:4" ht="30" x14ac:dyDescent="0.25">
      <c r="A7854" s="7" t="s">
        <v>3249</v>
      </c>
      <c r="B7854" s="8" t="s">
        <v>3250</v>
      </c>
      <c r="C7854" s="8" t="s">
        <v>1865</v>
      </c>
      <c r="D7854" s="8" t="str">
        <f>"9789176854860"</f>
        <v>9789176854860</v>
      </c>
    </row>
    <row r="7855" spans="1:4" ht="30" x14ac:dyDescent="0.25">
      <c r="A7855" s="7" t="s">
        <v>15322</v>
      </c>
      <c r="B7855" s="8" t="s">
        <v>15323</v>
      </c>
      <c r="C7855" s="8" t="s">
        <v>1865</v>
      </c>
      <c r="D7855" s="8" t="str">
        <f>"9789176857359"</f>
        <v>9789176857359</v>
      </c>
    </row>
    <row r="7856" spans="1:4" x14ac:dyDescent="0.25">
      <c r="A7856" s="7" t="s">
        <v>16296</v>
      </c>
      <c r="B7856" s="8" t="s">
        <v>16297</v>
      </c>
      <c r="C7856" s="8" t="s">
        <v>1865</v>
      </c>
      <c r="D7856" s="8" t="str">
        <f>"9789176856321"</f>
        <v>9789176856321</v>
      </c>
    </row>
    <row r="7857" spans="1:4" ht="30" x14ac:dyDescent="0.25">
      <c r="A7857" s="7" t="s">
        <v>7812</v>
      </c>
      <c r="B7857" s="8" t="s">
        <v>7813</v>
      </c>
      <c r="C7857" s="8" t="s">
        <v>1865</v>
      </c>
      <c r="D7857" s="8" t="str">
        <f>"9789179290245"</f>
        <v>9789179290245</v>
      </c>
    </row>
    <row r="7858" spans="1:4" x14ac:dyDescent="0.25">
      <c r="A7858" s="7" t="s">
        <v>11235</v>
      </c>
      <c r="B7858" s="8" t="s">
        <v>11236</v>
      </c>
      <c r="C7858" s="8" t="s">
        <v>355</v>
      </c>
      <c r="D7858" s="8" t="str">
        <f>"9783111591315"</f>
        <v>9783111591315</v>
      </c>
    </row>
    <row r="7859" spans="1:4" x14ac:dyDescent="0.25">
      <c r="A7859" s="7" t="s">
        <v>11975</v>
      </c>
      <c r="B7859" s="8" t="s">
        <v>11976</v>
      </c>
      <c r="C7859" s="8" t="s">
        <v>355</v>
      </c>
      <c r="D7859" s="8" t="str">
        <f>"9783111436753"</f>
        <v>9783111436753</v>
      </c>
    </row>
    <row r="7860" spans="1:4" x14ac:dyDescent="0.25">
      <c r="A7860" s="7" t="s">
        <v>11702</v>
      </c>
      <c r="B7860" s="8" t="s">
        <v>11703</v>
      </c>
      <c r="C7860" s="8" t="s">
        <v>355</v>
      </c>
      <c r="D7860" s="8" t="str">
        <f>"9783111451305"</f>
        <v>9783111451305</v>
      </c>
    </row>
    <row r="7861" spans="1:4" ht="60" x14ac:dyDescent="0.25">
      <c r="A7861" s="7" t="s">
        <v>13341</v>
      </c>
      <c r="B7861" s="8" t="s">
        <v>13072</v>
      </c>
      <c r="C7861" s="8" t="s">
        <v>12712</v>
      </c>
      <c r="D7861" s="8" t="str">
        <f>"9783428575008"</f>
        <v>9783428575008</v>
      </c>
    </row>
    <row r="7862" spans="1:4" x14ac:dyDescent="0.25">
      <c r="A7862" s="7" t="s">
        <v>12792</v>
      </c>
      <c r="B7862" s="8" t="s">
        <v>12793</v>
      </c>
      <c r="C7862" s="8" t="s">
        <v>12712</v>
      </c>
      <c r="D7862" s="8" t="str">
        <f>"9783428422975"</f>
        <v>9783428422975</v>
      </c>
    </row>
    <row r="7863" spans="1:4" ht="30" x14ac:dyDescent="0.25">
      <c r="A7863" s="7" t="s">
        <v>701</v>
      </c>
      <c r="B7863" s="8" t="s">
        <v>702</v>
      </c>
      <c r="C7863" s="8" t="s">
        <v>316</v>
      </c>
      <c r="D7863" s="8" t="str">
        <f>"9783110322743"</f>
        <v>9783110322743</v>
      </c>
    </row>
    <row r="7864" spans="1:4" x14ac:dyDescent="0.25">
      <c r="A7864" s="7" t="s">
        <v>12994</v>
      </c>
      <c r="B7864" s="8" t="s">
        <v>12951</v>
      </c>
      <c r="C7864" s="8" t="s">
        <v>12712</v>
      </c>
      <c r="D7864" s="8" t="str">
        <f>"9783428462834"</f>
        <v>9783428462834</v>
      </c>
    </row>
    <row r="7865" spans="1:4" x14ac:dyDescent="0.25">
      <c r="A7865" s="7" t="s">
        <v>12883</v>
      </c>
      <c r="B7865" s="8" t="s">
        <v>12716</v>
      </c>
      <c r="C7865" s="8" t="s">
        <v>12712</v>
      </c>
      <c r="D7865" s="8" t="str">
        <f>"9783428442140"</f>
        <v>9783428442140</v>
      </c>
    </row>
    <row r="7866" spans="1:4" x14ac:dyDescent="0.25">
      <c r="A7866" s="7" t="s">
        <v>5629</v>
      </c>
      <c r="B7866" s="8" t="s">
        <v>5630</v>
      </c>
      <c r="C7866" s="8" t="s">
        <v>2273</v>
      </c>
      <c r="D7866" s="8" t="str">
        <f>"9783319425894"</f>
        <v>9783319425894</v>
      </c>
    </row>
    <row r="7867" spans="1:4" x14ac:dyDescent="0.25">
      <c r="A7867" s="7" t="s">
        <v>10768</v>
      </c>
      <c r="B7867" s="8" t="s">
        <v>10769</v>
      </c>
      <c r="C7867" s="8" t="s">
        <v>1876</v>
      </c>
      <c r="D7867" s="8" t="str">
        <f>"9781921867637"</f>
        <v>9781921867637</v>
      </c>
    </row>
    <row r="7868" spans="1:4" x14ac:dyDescent="0.25">
      <c r="A7868" s="7" t="s">
        <v>13410</v>
      </c>
      <c r="B7868" s="8" t="s">
        <v>13411</v>
      </c>
      <c r="C7868" s="8" t="s">
        <v>5086</v>
      </c>
      <c r="D7868" s="8" t="str">
        <f>"9783658369460"</f>
        <v>9783658369460</v>
      </c>
    </row>
    <row r="7869" spans="1:4" x14ac:dyDescent="0.25">
      <c r="A7869" s="7" t="s">
        <v>246</v>
      </c>
      <c r="B7869" s="8" t="s">
        <v>247</v>
      </c>
      <c r="C7869" s="8" t="s">
        <v>227</v>
      </c>
      <c r="D7869" s="8" t="str">
        <f>"9781847790415"</f>
        <v>9781847790415</v>
      </c>
    </row>
    <row r="7870" spans="1:4" x14ac:dyDescent="0.25">
      <c r="A7870" s="7" t="s">
        <v>2711</v>
      </c>
      <c r="B7870" s="8" t="s">
        <v>2712</v>
      </c>
      <c r="C7870" s="8" t="s">
        <v>1345</v>
      </c>
      <c r="D7870" s="8" t="str">
        <f>"9783737601450"</f>
        <v>9783737601450</v>
      </c>
    </row>
    <row r="7871" spans="1:4" ht="30" x14ac:dyDescent="0.25">
      <c r="A7871" s="7" t="s">
        <v>3386</v>
      </c>
      <c r="B7871" s="8" t="s">
        <v>3387</v>
      </c>
      <c r="C7871" s="8" t="s">
        <v>1865</v>
      </c>
      <c r="D7871" s="8" t="str">
        <f>"9789176854365"</f>
        <v>9789176854365</v>
      </c>
    </row>
    <row r="7872" spans="1:4" x14ac:dyDescent="0.25">
      <c r="A7872" s="7" t="s">
        <v>15854</v>
      </c>
      <c r="B7872" s="8" t="s">
        <v>15855</v>
      </c>
      <c r="C7872" s="8" t="s">
        <v>1865</v>
      </c>
      <c r="D7872" s="8" t="str">
        <f>"9789175194523"</f>
        <v>9789175194523</v>
      </c>
    </row>
    <row r="7873" spans="1:4" x14ac:dyDescent="0.25">
      <c r="A7873" s="7" t="s">
        <v>16236</v>
      </c>
      <c r="B7873" s="8" t="s">
        <v>16237</v>
      </c>
      <c r="C7873" s="8" t="s">
        <v>1865</v>
      </c>
      <c r="D7873" s="8" t="str">
        <f>"9789175197081"</f>
        <v>9789175197081</v>
      </c>
    </row>
    <row r="7874" spans="1:4" x14ac:dyDescent="0.25">
      <c r="A7874" s="7" t="s">
        <v>15631</v>
      </c>
      <c r="B7874" s="8" t="s">
        <v>15632</v>
      </c>
      <c r="C7874" s="8" t="s">
        <v>1865</v>
      </c>
      <c r="D7874" s="8" t="str">
        <f>"9789175195698"</f>
        <v>9789175195698</v>
      </c>
    </row>
    <row r="7875" spans="1:4" x14ac:dyDescent="0.25">
      <c r="A7875" s="7" t="s">
        <v>4344</v>
      </c>
      <c r="B7875" s="8" t="s">
        <v>4345</v>
      </c>
      <c r="C7875" s="8" t="s">
        <v>1865</v>
      </c>
      <c r="D7875" s="8" t="str">
        <f>"9789176851388"</f>
        <v>9789176851388</v>
      </c>
    </row>
    <row r="7876" spans="1:4" x14ac:dyDescent="0.25">
      <c r="A7876" s="7" t="s">
        <v>14511</v>
      </c>
      <c r="B7876" s="8"/>
      <c r="C7876" s="8"/>
      <c r="D7876" s="8"/>
    </row>
    <row r="7877" spans="1:4" ht="30" x14ac:dyDescent="0.25">
      <c r="A7877" s="7" t="s">
        <v>15898</v>
      </c>
      <c r="B7877" s="8" t="s">
        <v>15899</v>
      </c>
      <c r="C7877" s="8" t="s">
        <v>1865</v>
      </c>
      <c r="D7877" s="8" t="str">
        <f>"9789175196183"</f>
        <v>9789175196183</v>
      </c>
    </row>
    <row r="7878" spans="1:4" x14ac:dyDescent="0.25">
      <c r="A7878" s="7" t="s">
        <v>14961</v>
      </c>
      <c r="B7878" s="8" t="s">
        <v>14962</v>
      </c>
      <c r="C7878" s="8" t="s">
        <v>1865</v>
      </c>
      <c r="D7878" s="8" t="str">
        <f>"9789176859490"</f>
        <v>9789176859490</v>
      </c>
    </row>
    <row r="7879" spans="1:4" x14ac:dyDescent="0.25">
      <c r="A7879" s="7" t="s">
        <v>15917</v>
      </c>
      <c r="B7879" s="8" t="s">
        <v>15918</v>
      </c>
      <c r="C7879" s="8" t="s">
        <v>1865</v>
      </c>
      <c r="D7879" s="8" t="str">
        <f>"9789175198842"</f>
        <v>9789175198842</v>
      </c>
    </row>
    <row r="7880" spans="1:4" x14ac:dyDescent="0.25">
      <c r="A7880" s="7" t="s">
        <v>4705</v>
      </c>
      <c r="B7880" s="8" t="s">
        <v>4706</v>
      </c>
      <c r="C7880" s="8" t="s">
        <v>1865</v>
      </c>
      <c r="D7880" s="8" t="str">
        <f>"9789179299675"</f>
        <v>9789179299675</v>
      </c>
    </row>
    <row r="7881" spans="1:4" x14ac:dyDescent="0.25">
      <c r="A7881" s="7" t="s">
        <v>15921</v>
      </c>
      <c r="B7881" s="8" t="s">
        <v>15922</v>
      </c>
      <c r="C7881" s="8" t="s">
        <v>1865</v>
      </c>
      <c r="D7881" s="8" t="str">
        <f>"9789175197418"</f>
        <v>9789175197418</v>
      </c>
    </row>
    <row r="7882" spans="1:4" ht="30" x14ac:dyDescent="0.25">
      <c r="A7882" s="7" t="s">
        <v>1738</v>
      </c>
      <c r="B7882" s="8" t="s">
        <v>1739</v>
      </c>
      <c r="C7882" s="8" t="s">
        <v>1345</v>
      </c>
      <c r="D7882" s="8" t="str">
        <f>"9783862196258"</f>
        <v>9783862196258</v>
      </c>
    </row>
    <row r="7883" spans="1:4" ht="30" x14ac:dyDescent="0.25">
      <c r="A7883" s="7" t="s">
        <v>4285</v>
      </c>
      <c r="B7883" s="8" t="s">
        <v>4286</v>
      </c>
      <c r="C7883" s="8" t="s">
        <v>1345</v>
      </c>
      <c r="D7883" s="8" t="str">
        <f>"9783737605793"</f>
        <v>9783737605793</v>
      </c>
    </row>
    <row r="7884" spans="1:4" ht="30" x14ac:dyDescent="0.25">
      <c r="A7884" s="7" t="s">
        <v>11941</v>
      </c>
      <c r="B7884" s="8" t="s">
        <v>11942</v>
      </c>
      <c r="C7884" s="8" t="s">
        <v>355</v>
      </c>
      <c r="D7884" s="8" t="str">
        <f>"9783110655599"</f>
        <v>9783110655599</v>
      </c>
    </row>
    <row r="7885" spans="1:4" x14ac:dyDescent="0.25">
      <c r="A7885" s="7" t="s">
        <v>16159</v>
      </c>
      <c r="B7885" s="8" t="s">
        <v>4450</v>
      </c>
      <c r="C7885" s="8" t="s">
        <v>1865</v>
      </c>
      <c r="D7885" s="8" t="str">
        <f>"9789176855973"</f>
        <v>9789176855973</v>
      </c>
    </row>
    <row r="7886" spans="1:4" x14ac:dyDescent="0.25">
      <c r="A7886" s="7" t="s">
        <v>14820</v>
      </c>
      <c r="B7886" s="8" t="s">
        <v>2916</v>
      </c>
      <c r="C7886" s="8" t="s">
        <v>1865</v>
      </c>
      <c r="D7886" s="8" t="str">
        <f>"9789175194264"</f>
        <v>9789175194264</v>
      </c>
    </row>
    <row r="7887" spans="1:4" x14ac:dyDescent="0.25">
      <c r="A7887" s="7" t="s">
        <v>14854</v>
      </c>
      <c r="B7887" s="8" t="s">
        <v>14855</v>
      </c>
      <c r="C7887" s="8" t="s">
        <v>1865</v>
      </c>
      <c r="D7887" s="8" t="str">
        <f>"9789175198682"</f>
        <v>9789175198682</v>
      </c>
    </row>
    <row r="7888" spans="1:4" x14ac:dyDescent="0.25">
      <c r="A7888" s="7" t="s">
        <v>16380</v>
      </c>
      <c r="B7888" s="8" t="s">
        <v>3168</v>
      </c>
      <c r="C7888" s="8" t="s">
        <v>1865</v>
      </c>
      <c r="D7888" s="8" t="str">
        <f>"9789176859605"</f>
        <v>9789176859605</v>
      </c>
    </row>
    <row r="7889" spans="1:4" ht="30" x14ac:dyDescent="0.25">
      <c r="A7889" s="7" t="s">
        <v>5238</v>
      </c>
      <c r="B7889" s="8" t="s">
        <v>5239</v>
      </c>
      <c r="C7889" s="8" t="s">
        <v>1865</v>
      </c>
      <c r="D7889" s="8" t="str">
        <f>"9789179298203"</f>
        <v>9789179298203</v>
      </c>
    </row>
    <row r="7890" spans="1:4" ht="30" x14ac:dyDescent="0.25">
      <c r="A7890" s="7" t="s">
        <v>5934</v>
      </c>
      <c r="B7890" s="8" t="s">
        <v>5935</v>
      </c>
      <c r="C7890" s="8" t="s">
        <v>5134</v>
      </c>
      <c r="D7890" s="8" t="str">
        <f>"9783662549971"</f>
        <v>9783662549971</v>
      </c>
    </row>
    <row r="7891" spans="1:4" x14ac:dyDescent="0.25">
      <c r="A7891" s="7" t="s">
        <v>506</v>
      </c>
      <c r="B7891" s="8" t="s">
        <v>507</v>
      </c>
      <c r="C7891" s="8" t="s">
        <v>316</v>
      </c>
      <c r="D7891" s="8" t="str">
        <f>"9781614511014"</f>
        <v>9781614511014</v>
      </c>
    </row>
    <row r="7892" spans="1:4" x14ac:dyDescent="0.25">
      <c r="A7892" s="7" t="s">
        <v>5166</v>
      </c>
      <c r="B7892" s="8" t="s">
        <v>5167</v>
      </c>
      <c r="C7892" s="8" t="s">
        <v>562</v>
      </c>
      <c r="D7892" s="8" t="str">
        <f>"9781478012405"</f>
        <v>9781478012405</v>
      </c>
    </row>
    <row r="7893" spans="1:4" x14ac:dyDescent="0.25">
      <c r="A7893" s="7" t="s">
        <v>2823</v>
      </c>
      <c r="B7893" s="8" t="s">
        <v>2824</v>
      </c>
      <c r="C7893" s="8" t="s">
        <v>562</v>
      </c>
      <c r="D7893" s="8" t="str">
        <f>"9780822373698"</f>
        <v>9780822373698</v>
      </c>
    </row>
    <row r="7894" spans="1:4" x14ac:dyDescent="0.25">
      <c r="A7894" s="7" t="s">
        <v>12410</v>
      </c>
      <c r="B7894" s="8" t="s">
        <v>12411</v>
      </c>
      <c r="C7894" s="8" t="s">
        <v>355</v>
      </c>
      <c r="D7894" s="8" t="str">
        <f>"9783110764185"</f>
        <v>9783110764185</v>
      </c>
    </row>
    <row r="7895" spans="1:4" ht="30" x14ac:dyDescent="0.25">
      <c r="A7895" s="7" t="s">
        <v>8364</v>
      </c>
      <c r="B7895" s="8" t="s">
        <v>8365</v>
      </c>
      <c r="C7895" s="8" t="s">
        <v>993</v>
      </c>
      <c r="D7895" s="8" t="str">
        <f>"9783839455876"</f>
        <v>9783839455876</v>
      </c>
    </row>
    <row r="7896" spans="1:4" ht="30" x14ac:dyDescent="0.25">
      <c r="A7896" s="7" t="s">
        <v>8553</v>
      </c>
      <c r="B7896" s="8" t="s">
        <v>8554</v>
      </c>
      <c r="C7896" s="8" t="s">
        <v>993</v>
      </c>
      <c r="D7896" s="8" t="str">
        <f>"9783839446409"</f>
        <v>9783839446409</v>
      </c>
    </row>
    <row r="7897" spans="1:4" x14ac:dyDescent="0.25">
      <c r="A7897" s="7" t="s">
        <v>15113</v>
      </c>
      <c r="B7897" s="8" t="s">
        <v>15114</v>
      </c>
      <c r="C7897" s="8" t="s">
        <v>1865</v>
      </c>
      <c r="D7897" s="8" t="str">
        <f>"9789176855300"</f>
        <v>9789176855300</v>
      </c>
    </row>
    <row r="7898" spans="1:4" ht="30" x14ac:dyDescent="0.25">
      <c r="A7898" s="7" t="s">
        <v>15309</v>
      </c>
      <c r="B7898" s="8" t="s">
        <v>15310</v>
      </c>
      <c r="C7898" s="8" t="s">
        <v>1865</v>
      </c>
      <c r="D7898" s="8" t="str">
        <f>"9789176858080"</f>
        <v>9789176858080</v>
      </c>
    </row>
    <row r="7899" spans="1:4" x14ac:dyDescent="0.25">
      <c r="A7899" s="7" t="s">
        <v>11081</v>
      </c>
      <c r="B7899" s="8" t="s">
        <v>11082</v>
      </c>
      <c r="C7899" s="8" t="s">
        <v>2082</v>
      </c>
      <c r="D7899" s="8" t="str">
        <f>"9780472900527"</f>
        <v>9780472900527</v>
      </c>
    </row>
    <row r="7900" spans="1:4" x14ac:dyDescent="0.25">
      <c r="A7900" s="7" t="s">
        <v>8450</v>
      </c>
      <c r="B7900" s="8" t="s">
        <v>8451</v>
      </c>
      <c r="C7900" s="8" t="s">
        <v>7173</v>
      </c>
      <c r="D7900" s="8" t="str">
        <f>"9783839445198"</f>
        <v>9783839445198</v>
      </c>
    </row>
    <row r="7901" spans="1:4" x14ac:dyDescent="0.25">
      <c r="A7901" s="7" t="s">
        <v>564</v>
      </c>
      <c r="B7901" s="8" t="s">
        <v>565</v>
      </c>
      <c r="C7901" s="8" t="s">
        <v>562</v>
      </c>
      <c r="D7901" s="8" t="str">
        <f>"9780822386063"</f>
        <v>9780822386063</v>
      </c>
    </row>
    <row r="7902" spans="1:4" x14ac:dyDescent="0.25">
      <c r="A7902" s="7" t="s">
        <v>2142</v>
      </c>
      <c r="B7902" s="8" t="s">
        <v>40</v>
      </c>
      <c r="C7902" s="8" t="s">
        <v>1879</v>
      </c>
      <c r="D7902" s="8" t="str">
        <f>"9781783741298"</f>
        <v>9781783741298</v>
      </c>
    </row>
    <row r="7903" spans="1:4" x14ac:dyDescent="0.25">
      <c r="A7903" s="7" t="s">
        <v>7824</v>
      </c>
      <c r="B7903" s="8" t="s">
        <v>7825</v>
      </c>
      <c r="C7903" s="8" t="s">
        <v>5086</v>
      </c>
      <c r="D7903" s="8" t="str">
        <f>"9783658354794"</f>
        <v>9783658354794</v>
      </c>
    </row>
    <row r="7904" spans="1:4" x14ac:dyDescent="0.25">
      <c r="A7904" s="7" t="s">
        <v>9759</v>
      </c>
      <c r="B7904" s="8" t="s">
        <v>9760</v>
      </c>
      <c r="C7904" s="8" t="s">
        <v>993</v>
      </c>
      <c r="D7904" s="8" t="str">
        <f>"9783839404034"</f>
        <v>9783839404034</v>
      </c>
    </row>
    <row r="7905" spans="1:4" x14ac:dyDescent="0.25">
      <c r="A7905" s="7" t="s">
        <v>15217</v>
      </c>
      <c r="B7905" s="8" t="s">
        <v>4394</v>
      </c>
      <c r="C7905" s="8" t="s">
        <v>1865</v>
      </c>
      <c r="D7905" s="8" t="str">
        <f>"9789175191867"</f>
        <v>9789175191867</v>
      </c>
    </row>
    <row r="7906" spans="1:4" ht="30" x14ac:dyDescent="0.25">
      <c r="A7906" s="7" t="s">
        <v>484</v>
      </c>
      <c r="B7906" s="8" t="s">
        <v>485</v>
      </c>
      <c r="C7906" s="8" t="s">
        <v>309</v>
      </c>
      <c r="D7906" s="8" t="str">
        <f>"9781439907603"</f>
        <v>9781439907603</v>
      </c>
    </row>
    <row r="7907" spans="1:4" ht="30" x14ac:dyDescent="0.25">
      <c r="A7907" s="7" t="s">
        <v>15449</v>
      </c>
      <c r="B7907" s="8" t="s">
        <v>15450</v>
      </c>
      <c r="C7907" s="8" t="s">
        <v>1865</v>
      </c>
      <c r="D7907" s="8" t="str">
        <f>"9789175198521"</f>
        <v>9789175198521</v>
      </c>
    </row>
    <row r="7908" spans="1:4" ht="30" x14ac:dyDescent="0.25">
      <c r="A7908" s="7" t="s">
        <v>668</v>
      </c>
      <c r="B7908" s="8" t="s">
        <v>669</v>
      </c>
      <c r="C7908" s="8" t="s">
        <v>316</v>
      </c>
      <c r="D7908" s="8" t="str">
        <f>"9783110333213"</f>
        <v>9783110333213</v>
      </c>
    </row>
    <row r="7909" spans="1:4" x14ac:dyDescent="0.25">
      <c r="A7909" s="7" t="s">
        <v>12233</v>
      </c>
      <c r="B7909" s="8" t="s">
        <v>12234</v>
      </c>
      <c r="C7909" s="8" t="s">
        <v>355</v>
      </c>
      <c r="D7909" s="8" t="str">
        <f>"9783110692754"</f>
        <v>9783110692754</v>
      </c>
    </row>
    <row r="7910" spans="1:4" x14ac:dyDescent="0.25">
      <c r="A7910" s="7" t="s">
        <v>15719</v>
      </c>
      <c r="B7910" s="8" t="s">
        <v>15720</v>
      </c>
      <c r="C7910" s="8" t="s">
        <v>1865</v>
      </c>
      <c r="D7910" s="8" t="str">
        <f>"9789175191430"</f>
        <v>9789175191430</v>
      </c>
    </row>
    <row r="7911" spans="1:4" ht="30" x14ac:dyDescent="0.25">
      <c r="A7911" s="7" t="s">
        <v>16376</v>
      </c>
      <c r="B7911" s="8" t="s">
        <v>16377</v>
      </c>
      <c r="C7911" s="8" t="s">
        <v>1865</v>
      </c>
      <c r="D7911" s="8" t="str">
        <f>"9789176852033"</f>
        <v>9789176852033</v>
      </c>
    </row>
    <row r="7912" spans="1:4" x14ac:dyDescent="0.25">
      <c r="A7912" s="7" t="s">
        <v>15313</v>
      </c>
      <c r="B7912" s="8" t="s">
        <v>15314</v>
      </c>
      <c r="C7912" s="8" t="s">
        <v>1865</v>
      </c>
      <c r="D7912" s="8" t="str">
        <f>"9789176852323"</f>
        <v>9789176852323</v>
      </c>
    </row>
    <row r="7913" spans="1:4" x14ac:dyDescent="0.25">
      <c r="A7913" s="7" t="s">
        <v>12138</v>
      </c>
      <c r="B7913" s="8" t="s">
        <v>12139</v>
      </c>
      <c r="C7913" s="8" t="s">
        <v>355</v>
      </c>
      <c r="D7913" s="8" t="str">
        <f>"9783110752397"</f>
        <v>9783110752397</v>
      </c>
    </row>
    <row r="7914" spans="1:4" x14ac:dyDescent="0.25">
      <c r="A7914" s="7" t="s">
        <v>4846</v>
      </c>
      <c r="B7914" s="8" t="s">
        <v>4847</v>
      </c>
      <c r="C7914" s="8" t="s">
        <v>1865</v>
      </c>
      <c r="D7914" s="8" t="str">
        <f>"9789179298845"</f>
        <v>9789179298845</v>
      </c>
    </row>
    <row r="7915" spans="1:4" x14ac:dyDescent="0.25">
      <c r="A7915" s="7" t="s">
        <v>4917</v>
      </c>
      <c r="B7915" s="8" t="s">
        <v>4918</v>
      </c>
      <c r="C7915" s="8" t="s">
        <v>1865</v>
      </c>
      <c r="D7915" s="8" t="str">
        <f>"9789179298692"</f>
        <v>9789179298692</v>
      </c>
    </row>
    <row r="7916" spans="1:4" x14ac:dyDescent="0.25">
      <c r="A7916" s="7" t="s">
        <v>14528</v>
      </c>
      <c r="B7916" s="8" t="s">
        <v>14529</v>
      </c>
      <c r="C7916" s="8" t="s">
        <v>1865</v>
      </c>
      <c r="D7916" s="8" t="str">
        <f>"9789179290146"</f>
        <v>9789179290146</v>
      </c>
    </row>
    <row r="7917" spans="1:4" x14ac:dyDescent="0.25">
      <c r="A7917" s="7" t="s">
        <v>7419</v>
      </c>
      <c r="B7917" s="8" t="s">
        <v>7420</v>
      </c>
      <c r="C7917" s="8" t="s">
        <v>1865</v>
      </c>
      <c r="D7917" s="8" t="str">
        <f>"9789179296315"</f>
        <v>9789179296315</v>
      </c>
    </row>
    <row r="7918" spans="1:4" x14ac:dyDescent="0.25">
      <c r="A7918" s="7" t="s">
        <v>12652</v>
      </c>
      <c r="B7918" s="8" t="s">
        <v>12653</v>
      </c>
      <c r="C7918" s="8" t="s">
        <v>2273</v>
      </c>
      <c r="D7918" s="8" t="str">
        <f>"9783031097126"</f>
        <v>9783031097126</v>
      </c>
    </row>
    <row r="7919" spans="1:4" x14ac:dyDescent="0.25">
      <c r="A7919" s="7" t="s">
        <v>14987</v>
      </c>
      <c r="B7919" s="8" t="s">
        <v>14988</v>
      </c>
      <c r="C7919" s="8" t="s">
        <v>1865</v>
      </c>
      <c r="D7919" s="8" t="str">
        <f>"9789173939225"</f>
        <v>9789173939225</v>
      </c>
    </row>
    <row r="7920" spans="1:4" x14ac:dyDescent="0.25">
      <c r="A7920" s="7" t="s">
        <v>15226</v>
      </c>
      <c r="B7920" s="8" t="s">
        <v>15227</v>
      </c>
      <c r="C7920" s="8" t="s">
        <v>1865</v>
      </c>
      <c r="D7920" s="8" t="str">
        <f>"9789176855645"</f>
        <v>9789176855645</v>
      </c>
    </row>
    <row r="7921" spans="1:4" x14ac:dyDescent="0.25">
      <c r="A7921" s="7" t="s">
        <v>16064</v>
      </c>
      <c r="B7921" s="8" t="s">
        <v>16065</v>
      </c>
      <c r="C7921" s="8" t="s">
        <v>1865</v>
      </c>
      <c r="D7921" s="8" t="str">
        <f>"9789179299170"</f>
        <v>9789179299170</v>
      </c>
    </row>
    <row r="7922" spans="1:4" x14ac:dyDescent="0.25">
      <c r="A7922" s="7" t="s">
        <v>15453</v>
      </c>
      <c r="B7922" s="8" t="s">
        <v>15454</v>
      </c>
      <c r="C7922" s="8" t="s">
        <v>1865</v>
      </c>
      <c r="D7922" s="8" t="str">
        <f>"9789175197012"</f>
        <v>9789175197012</v>
      </c>
    </row>
    <row r="7923" spans="1:4" x14ac:dyDescent="0.25">
      <c r="A7923" s="7" t="s">
        <v>15636</v>
      </c>
      <c r="B7923" s="8" t="s">
        <v>2800</v>
      </c>
      <c r="C7923" s="8" t="s">
        <v>1865</v>
      </c>
      <c r="D7923" s="8" t="str">
        <f>"9789175198309"</f>
        <v>9789175198309</v>
      </c>
    </row>
    <row r="7924" spans="1:4" ht="30" x14ac:dyDescent="0.25">
      <c r="A7924" s="7" t="s">
        <v>2799</v>
      </c>
      <c r="B7924" s="8" t="s">
        <v>2800</v>
      </c>
      <c r="C7924" s="8" t="s">
        <v>1865</v>
      </c>
      <c r="D7924" s="8" t="str">
        <f>"9789176856970"</f>
        <v>9789176856970</v>
      </c>
    </row>
    <row r="7925" spans="1:4" x14ac:dyDescent="0.25">
      <c r="A7925" s="7" t="s">
        <v>15365</v>
      </c>
      <c r="B7925" s="8" t="s">
        <v>3467</v>
      </c>
      <c r="C7925" s="8" t="s">
        <v>1865</v>
      </c>
      <c r="D7925" s="8" t="str">
        <f>"9789176857663"</f>
        <v>9789176857663</v>
      </c>
    </row>
    <row r="7926" spans="1:4" x14ac:dyDescent="0.25">
      <c r="A7926" s="7" t="s">
        <v>7685</v>
      </c>
      <c r="B7926" s="8" t="s">
        <v>7686</v>
      </c>
      <c r="C7926" s="8" t="s">
        <v>993</v>
      </c>
      <c r="D7926" s="8" t="str">
        <f>"9783839421741"</f>
        <v>9783839421741</v>
      </c>
    </row>
    <row r="7927" spans="1:4" ht="30" x14ac:dyDescent="0.25">
      <c r="A7927" s="7" t="s">
        <v>14821</v>
      </c>
      <c r="B7927" s="8" t="s">
        <v>14822</v>
      </c>
      <c r="C7927" s="8" t="s">
        <v>1865</v>
      </c>
      <c r="D7927" s="8" t="str">
        <f>"9789176859568"</f>
        <v>9789176859568</v>
      </c>
    </row>
    <row r="7928" spans="1:4" x14ac:dyDescent="0.25">
      <c r="A7928" s="7" t="s">
        <v>8615</v>
      </c>
      <c r="B7928" s="8" t="s">
        <v>8616</v>
      </c>
      <c r="C7928" s="8" t="s">
        <v>562</v>
      </c>
      <c r="D7928" s="8" t="str">
        <f>"9781478091745"</f>
        <v>9781478091745</v>
      </c>
    </row>
    <row r="7929" spans="1:4" ht="30" x14ac:dyDescent="0.25">
      <c r="A7929" s="7" t="s">
        <v>15582</v>
      </c>
      <c r="B7929" s="8" t="s">
        <v>15583</v>
      </c>
      <c r="C7929" s="8" t="s">
        <v>1865</v>
      </c>
      <c r="D7929" s="8" t="str">
        <f>"9789176857403"</f>
        <v>9789176857403</v>
      </c>
    </row>
    <row r="7930" spans="1:4" x14ac:dyDescent="0.25">
      <c r="A7930" s="7" t="s">
        <v>4915</v>
      </c>
      <c r="B7930" s="8" t="s">
        <v>4916</v>
      </c>
      <c r="C7930" s="8" t="s">
        <v>1865</v>
      </c>
      <c r="D7930" s="8" t="str">
        <f>"9789179298913"</f>
        <v>9789179298913</v>
      </c>
    </row>
    <row r="7931" spans="1:4" x14ac:dyDescent="0.25">
      <c r="A7931" s="7" t="s">
        <v>2334</v>
      </c>
      <c r="B7931" s="8" t="s">
        <v>41</v>
      </c>
      <c r="C7931" s="8" t="s">
        <v>1879</v>
      </c>
      <c r="D7931" s="8" t="str">
        <f>"9781783742059"</f>
        <v>9781783742059</v>
      </c>
    </row>
    <row r="7932" spans="1:4" x14ac:dyDescent="0.25">
      <c r="A7932" s="7" t="s">
        <v>9357</v>
      </c>
      <c r="B7932" s="8" t="s">
        <v>9358</v>
      </c>
      <c r="C7932" s="8" t="s">
        <v>9256</v>
      </c>
      <c r="D7932" s="8" t="str">
        <f>"9788021096110"</f>
        <v>9788021096110</v>
      </c>
    </row>
    <row r="7933" spans="1:4" x14ac:dyDescent="0.25">
      <c r="A7933" s="7" t="s">
        <v>9429</v>
      </c>
      <c r="B7933" s="8" t="s">
        <v>9358</v>
      </c>
      <c r="C7933" s="8" t="s">
        <v>9256</v>
      </c>
      <c r="D7933" s="8" t="str">
        <f>"9788021098824"</f>
        <v>9788021098824</v>
      </c>
    </row>
    <row r="7934" spans="1:4" ht="60" x14ac:dyDescent="0.25">
      <c r="A7934" s="7" t="s">
        <v>6605</v>
      </c>
      <c r="B7934" s="8" t="s">
        <v>6606</v>
      </c>
      <c r="C7934" s="8" t="s">
        <v>2273</v>
      </c>
      <c r="D7934" s="8" t="str">
        <f>"9783030720162"</f>
        <v>9783030720162</v>
      </c>
    </row>
    <row r="7935" spans="1:4" ht="60" x14ac:dyDescent="0.25">
      <c r="A7935" s="7" t="s">
        <v>6644</v>
      </c>
      <c r="B7935" s="8" t="s">
        <v>6606</v>
      </c>
      <c r="C7935" s="8" t="s">
        <v>2273</v>
      </c>
      <c r="D7935" s="8" t="str">
        <f>"9783030720131"</f>
        <v>9783030720131</v>
      </c>
    </row>
    <row r="7936" spans="1:4" ht="45" x14ac:dyDescent="0.25">
      <c r="A7936" s="7" t="s">
        <v>9547</v>
      </c>
      <c r="B7936" s="8" t="s">
        <v>9548</v>
      </c>
      <c r="C7936" s="8" t="s">
        <v>2273</v>
      </c>
      <c r="D7936" s="8" t="str">
        <f>"9783030995249"</f>
        <v>9783030995249</v>
      </c>
    </row>
    <row r="7937" spans="1:4" ht="45" x14ac:dyDescent="0.25">
      <c r="A7937" s="7" t="s">
        <v>9551</v>
      </c>
      <c r="B7937" s="8" t="s">
        <v>9548</v>
      </c>
      <c r="C7937" s="8" t="s">
        <v>2273</v>
      </c>
      <c r="D7937" s="8" t="str">
        <f>"9783030995270"</f>
        <v>9783030995270</v>
      </c>
    </row>
    <row r="7938" spans="1:4" ht="30" x14ac:dyDescent="0.25">
      <c r="A7938" s="7" t="s">
        <v>15560</v>
      </c>
      <c r="B7938" s="8" t="s">
        <v>15561</v>
      </c>
      <c r="C7938" s="8" t="s">
        <v>1865</v>
      </c>
      <c r="D7938" s="8" t="str">
        <f>"9789175196244"</f>
        <v>9789175196244</v>
      </c>
    </row>
    <row r="7939" spans="1:4" ht="30" x14ac:dyDescent="0.25">
      <c r="A7939" s="7" t="s">
        <v>7168</v>
      </c>
      <c r="B7939" s="8" t="s">
        <v>7169</v>
      </c>
      <c r="C7939" s="8" t="s">
        <v>355</v>
      </c>
      <c r="D7939" s="8" t="str">
        <f>"9783110639445"</f>
        <v>9783110639445</v>
      </c>
    </row>
    <row r="7940" spans="1:4" x14ac:dyDescent="0.25">
      <c r="A7940" s="7" t="s">
        <v>2516</v>
      </c>
      <c r="B7940" s="8" t="s">
        <v>2517</v>
      </c>
      <c r="C7940" s="8" t="s">
        <v>1865</v>
      </c>
      <c r="D7940" s="8" t="str">
        <f>"9789176858837"</f>
        <v>9789176858837</v>
      </c>
    </row>
    <row r="7941" spans="1:4" x14ac:dyDescent="0.25">
      <c r="A7941" s="7" t="s">
        <v>14651</v>
      </c>
      <c r="B7941" s="8" t="s">
        <v>14652</v>
      </c>
      <c r="C7941" s="8" t="s">
        <v>1865</v>
      </c>
      <c r="D7941" s="8" t="str">
        <f>"9789179298500"</f>
        <v>9789179298500</v>
      </c>
    </row>
    <row r="7942" spans="1:4" ht="30" x14ac:dyDescent="0.25">
      <c r="A7942" s="7" t="s">
        <v>6870</v>
      </c>
      <c r="B7942" s="8" t="s">
        <v>6871</v>
      </c>
      <c r="C7942" s="8" t="s">
        <v>1865</v>
      </c>
      <c r="D7942" s="8" t="str">
        <f>"9789179296278"</f>
        <v>9789179296278</v>
      </c>
    </row>
    <row r="7943" spans="1:4" x14ac:dyDescent="0.25">
      <c r="A7943" s="7" t="s">
        <v>9640</v>
      </c>
      <c r="B7943" s="8" t="s">
        <v>9641</v>
      </c>
      <c r="C7943" s="8" t="s">
        <v>2082</v>
      </c>
      <c r="D7943" s="8" t="str">
        <f>"9780472902712"</f>
        <v>9780472902712</v>
      </c>
    </row>
    <row r="7944" spans="1:4" x14ac:dyDescent="0.25">
      <c r="A7944" s="7" t="s">
        <v>11279</v>
      </c>
      <c r="B7944" s="8" t="s">
        <v>11280</v>
      </c>
      <c r="C7944" s="8" t="s">
        <v>355</v>
      </c>
      <c r="D7944" s="8" t="str">
        <f>"9783110702231"</f>
        <v>9783110702231</v>
      </c>
    </row>
    <row r="7945" spans="1:4" ht="30" x14ac:dyDescent="0.25">
      <c r="A7945" s="7" t="s">
        <v>4699</v>
      </c>
      <c r="B7945" s="8" t="s">
        <v>4700</v>
      </c>
      <c r="C7945" s="8" t="s">
        <v>1865</v>
      </c>
      <c r="D7945" s="8" t="str">
        <f>"9789179299590"</f>
        <v>9789179299590</v>
      </c>
    </row>
    <row r="7946" spans="1:4" ht="30" x14ac:dyDescent="0.25">
      <c r="A7946" s="7" t="s">
        <v>2265</v>
      </c>
      <c r="B7946" s="8" t="s">
        <v>2266</v>
      </c>
      <c r="C7946" s="8" t="s">
        <v>355</v>
      </c>
      <c r="D7946" s="8" t="str">
        <f>"9783110967951"</f>
        <v>9783110967951</v>
      </c>
    </row>
    <row r="7947" spans="1:4" x14ac:dyDescent="0.25">
      <c r="A7947" s="7" t="s">
        <v>7551</v>
      </c>
      <c r="B7947" s="8" t="s">
        <v>7552</v>
      </c>
      <c r="C7947" s="8" t="s">
        <v>993</v>
      </c>
      <c r="D7947" s="8" t="str">
        <f>"9783839413937"</f>
        <v>9783839413937</v>
      </c>
    </row>
    <row r="7948" spans="1:4" ht="30" x14ac:dyDescent="0.25">
      <c r="A7948" s="7" t="s">
        <v>10201</v>
      </c>
      <c r="B7948" s="8" t="s">
        <v>10202</v>
      </c>
      <c r="C7948" s="8" t="s">
        <v>993</v>
      </c>
      <c r="D7948" s="8" t="str">
        <f>"9783839443910"</f>
        <v>9783839443910</v>
      </c>
    </row>
    <row r="7949" spans="1:4" x14ac:dyDescent="0.25">
      <c r="A7949" s="7" t="s">
        <v>11858</v>
      </c>
      <c r="B7949" s="8" t="s">
        <v>11859</v>
      </c>
      <c r="C7949" s="8" t="s">
        <v>355</v>
      </c>
      <c r="D7949" s="8" t="str">
        <f>"9783110744767"</f>
        <v>9783110744767</v>
      </c>
    </row>
    <row r="7950" spans="1:4" x14ac:dyDescent="0.25">
      <c r="A7950" s="7" t="s">
        <v>5894</v>
      </c>
      <c r="B7950" s="8" t="s">
        <v>5895</v>
      </c>
      <c r="C7950" s="8" t="s">
        <v>5484</v>
      </c>
      <c r="D7950" s="8" t="str">
        <f>"9781430261377"</f>
        <v>9781430261377</v>
      </c>
    </row>
    <row r="7951" spans="1:4" x14ac:dyDescent="0.25">
      <c r="A7951" s="7" t="s">
        <v>5593</v>
      </c>
      <c r="B7951" s="8" t="s">
        <v>5594</v>
      </c>
      <c r="C7951" s="8" t="s">
        <v>5134</v>
      </c>
      <c r="D7951" s="8" t="str">
        <f>"9783662615225"</f>
        <v>9783662615225</v>
      </c>
    </row>
    <row r="7952" spans="1:4" x14ac:dyDescent="0.25">
      <c r="A7952" s="7" t="s">
        <v>791</v>
      </c>
      <c r="B7952" s="8" t="s">
        <v>792</v>
      </c>
      <c r="C7952" s="8" t="s">
        <v>355</v>
      </c>
      <c r="D7952" s="8" t="str">
        <f>"9783486989281"</f>
        <v>9783486989281</v>
      </c>
    </row>
    <row r="7953" spans="1:4" ht="30" x14ac:dyDescent="0.25">
      <c r="A7953" s="7" t="s">
        <v>7266</v>
      </c>
      <c r="B7953" s="8" t="s">
        <v>7267</v>
      </c>
      <c r="C7953" s="8" t="s">
        <v>355</v>
      </c>
      <c r="D7953" s="8" t="str">
        <f>"9783110616347"</f>
        <v>9783110616347</v>
      </c>
    </row>
    <row r="7954" spans="1:4" x14ac:dyDescent="0.25">
      <c r="A7954" s="7" t="s">
        <v>3470</v>
      </c>
      <c r="B7954" s="8" t="s">
        <v>3471</v>
      </c>
      <c r="C7954" s="8" t="s">
        <v>309</v>
      </c>
      <c r="D7954" s="8" t="str">
        <f>"9781439914618"</f>
        <v>9781439914618</v>
      </c>
    </row>
    <row r="7955" spans="1:4" x14ac:dyDescent="0.25">
      <c r="A7955" s="7" t="s">
        <v>15141</v>
      </c>
      <c r="B7955" s="8" t="s">
        <v>15142</v>
      </c>
      <c r="C7955" s="8" t="s">
        <v>1865</v>
      </c>
      <c r="D7955" s="8" t="str">
        <f>"9789175198460"</f>
        <v>9789175198460</v>
      </c>
    </row>
    <row r="7956" spans="1:4" x14ac:dyDescent="0.25">
      <c r="A7956" s="7" t="s">
        <v>6370</v>
      </c>
      <c r="B7956" s="8" t="s">
        <v>6371</v>
      </c>
      <c r="C7956" s="8" t="s">
        <v>1865</v>
      </c>
      <c r="D7956" s="8" t="str">
        <f>"9789179297299"</f>
        <v>9789179297299</v>
      </c>
    </row>
    <row r="7957" spans="1:4" ht="30" x14ac:dyDescent="0.25">
      <c r="A7957" s="7" t="s">
        <v>14976</v>
      </c>
      <c r="B7957" s="8" t="s">
        <v>14977</v>
      </c>
      <c r="C7957" s="8" t="s">
        <v>1865</v>
      </c>
      <c r="D7957" s="8" t="str">
        <f>"9789175190457"</f>
        <v>9789175190457</v>
      </c>
    </row>
    <row r="7958" spans="1:4" ht="30" x14ac:dyDescent="0.25">
      <c r="A7958" s="7" t="s">
        <v>3320</v>
      </c>
      <c r="B7958" s="8" t="s">
        <v>3321</v>
      </c>
      <c r="C7958" s="8" t="s">
        <v>1865</v>
      </c>
      <c r="D7958" s="8" t="str">
        <f>"9789176854815"</f>
        <v>9789176854815</v>
      </c>
    </row>
    <row r="7959" spans="1:4" x14ac:dyDescent="0.25">
      <c r="A7959" s="7" t="s">
        <v>5538</v>
      </c>
      <c r="B7959" s="8" t="s">
        <v>5539</v>
      </c>
      <c r="C7959" s="8" t="s">
        <v>2273</v>
      </c>
      <c r="D7959" s="8" t="str">
        <f>"9783030484422"</f>
        <v>9783030484422</v>
      </c>
    </row>
    <row r="7960" spans="1:4" ht="30" x14ac:dyDescent="0.25">
      <c r="A7960" s="7" t="s">
        <v>7864</v>
      </c>
      <c r="B7960" s="8" t="s">
        <v>7865</v>
      </c>
      <c r="C7960" s="8" t="s">
        <v>2273</v>
      </c>
      <c r="D7960" s="8" t="str">
        <f>"9783030787240"</f>
        <v>9783030787240</v>
      </c>
    </row>
    <row r="7961" spans="1:4" ht="30" x14ac:dyDescent="0.25">
      <c r="A7961" s="7" t="s">
        <v>16250</v>
      </c>
      <c r="B7961" s="8" t="s">
        <v>14878</v>
      </c>
      <c r="C7961" s="8" t="s">
        <v>1865</v>
      </c>
      <c r="D7961" s="8" t="str">
        <f>"9789175194622"</f>
        <v>9789175194622</v>
      </c>
    </row>
    <row r="7962" spans="1:4" x14ac:dyDescent="0.25">
      <c r="A7962" s="7" t="s">
        <v>14755</v>
      </c>
      <c r="B7962" s="8" t="s">
        <v>3432</v>
      </c>
      <c r="C7962" s="8" t="s">
        <v>1865</v>
      </c>
      <c r="D7962" s="8" t="str">
        <f>"9789175193335"</f>
        <v>9789175193335</v>
      </c>
    </row>
    <row r="7963" spans="1:4" ht="30" x14ac:dyDescent="0.25">
      <c r="A7963" s="7" t="s">
        <v>3239</v>
      </c>
      <c r="B7963" s="8" t="s">
        <v>3240</v>
      </c>
      <c r="C7963" s="8" t="s">
        <v>1865</v>
      </c>
      <c r="D7963" s="8" t="str">
        <f>"9789176854785"</f>
        <v>9789176854785</v>
      </c>
    </row>
    <row r="7964" spans="1:4" x14ac:dyDescent="0.25">
      <c r="A7964" s="7" t="s">
        <v>9789</v>
      </c>
      <c r="B7964" s="8" t="s">
        <v>9790</v>
      </c>
      <c r="C7964" s="8" t="s">
        <v>993</v>
      </c>
      <c r="D7964" s="8" t="str">
        <f>"9783839404683"</f>
        <v>9783839404683</v>
      </c>
    </row>
    <row r="7965" spans="1:4" ht="30" x14ac:dyDescent="0.25">
      <c r="A7965" s="7" t="s">
        <v>6679</v>
      </c>
      <c r="B7965" s="8" t="s">
        <v>6680</v>
      </c>
      <c r="C7965" s="8" t="s">
        <v>2273</v>
      </c>
      <c r="D7965" s="8" t="str">
        <f>"9783030671303"</f>
        <v>9783030671303</v>
      </c>
    </row>
    <row r="7966" spans="1:4" x14ac:dyDescent="0.25">
      <c r="A7966" s="7" t="s">
        <v>12699</v>
      </c>
      <c r="B7966" s="8" t="s">
        <v>12700</v>
      </c>
      <c r="C7966" s="8" t="s">
        <v>993</v>
      </c>
      <c r="D7966" s="8" t="str">
        <f>"9783839465707"</f>
        <v>9783839465707</v>
      </c>
    </row>
    <row r="7967" spans="1:4" x14ac:dyDescent="0.25">
      <c r="A7967" s="7" t="s">
        <v>8603</v>
      </c>
      <c r="B7967" s="8" t="s">
        <v>8604</v>
      </c>
      <c r="C7967" s="8" t="s">
        <v>2273</v>
      </c>
      <c r="D7967" s="8" t="str">
        <f>"9783030771270"</f>
        <v>9783030771270</v>
      </c>
    </row>
    <row r="7968" spans="1:4" ht="30" x14ac:dyDescent="0.25">
      <c r="A7968" s="7" t="s">
        <v>1523</v>
      </c>
      <c r="B7968" s="8" t="s">
        <v>1524</v>
      </c>
      <c r="C7968" s="8" t="s">
        <v>1345</v>
      </c>
      <c r="D7968" s="8" t="str">
        <f>"9783862192458"</f>
        <v>9783862192458</v>
      </c>
    </row>
    <row r="7969" spans="1:4" x14ac:dyDescent="0.25">
      <c r="A7969" s="7" t="s">
        <v>15425</v>
      </c>
      <c r="B7969" s="8" t="s">
        <v>6766</v>
      </c>
      <c r="C7969" s="8" t="s">
        <v>1865</v>
      </c>
      <c r="D7969" s="8" t="str">
        <f>"9789175190105"</f>
        <v>9789175190105</v>
      </c>
    </row>
    <row r="7970" spans="1:4" x14ac:dyDescent="0.25">
      <c r="A7970" s="7" t="s">
        <v>1809</v>
      </c>
      <c r="B7970" s="8" t="s">
        <v>1810</v>
      </c>
      <c r="C7970" s="8" t="s">
        <v>1345</v>
      </c>
      <c r="D7970" s="8" t="str">
        <f>"9783862197231"</f>
        <v>9783862197231</v>
      </c>
    </row>
    <row r="7971" spans="1:4" x14ac:dyDescent="0.25">
      <c r="A7971" s="7" t="s">
        <v>15571</v>
      </c>
      <c r="B7971" s="8" t="s">
        <v>15572</v>
      </c>
      <c r="C7971" s="8" t="s">
        <v>1865</v>
      </c>
      <c r="D7971" s="8" t="str">
        <f>"9789175196398"</f>
        <v>9789175196398</v>
      </c>
    </row>
    <row r="7972" spans="1:4" ht="45" x14ac:dyDescent="0.25">
      <c r="A7972" s="7" t="s">
        <v>8897</v>
      </c>
      <c r="B7972" s="8" t="s">
        <v>8898</v>
      </c>
      <c r="C7972" s="8" t="s">
        <v>2273</v>
      </c>
      <c r="D7972" s="8" t="str">
        <f>"9783030827595"</f>
        <v>9783030827595</v>
      </c>
    </row>
    <row r="7973" spans="1:4" x14ac:dyDescent="0.25">
      <c r="A7973" s="7" t="s">
        <v>7343</v>
      </c>
      <c r="B7973" s="8" t="s">
        <v>7344</v>
      </c>
      <c r="C7973" s="8" t="s">
        <v>1879</v>
      </c>
      <c r="D7973" s="8" t="str">
        <f>"9781800642324"</f>
        <v>9781800642324</v>
      </c>
    </row>
    <row r="7974" spans="1:4" x14ac:dyDescent="0.25">
      <c r="A7974" s="7" t="s">
        <v>16194</v>
      </c>
      <c r="B7974" s="8" t="s">
        <v>3274</v>
      </c>
      <c r="C7974" s="8" t="s">
        <v>1865</v>
      </c>
      <c r="D7974" s="8" t="str">
        <f>"9789175195704"</f>
        <v>9789175195704</v>
      </c>
    </row>
    <row r="7975" spans="1:4" x14ac:dyDescent="0.25">
      <c r="A7975" s="7" t="s">
        <v>16302</v>
      </c>
      <c r="B7975" s="8" t="s">
        <v>4182</v>
      </c>
      <c r="C7975" s="8" t="s">
        <v>1865</v>
      </c>
      <c r="D7975" s="8" t="str">
        <f>"9789176857748"</f>
        <v>9789176857748</v>
      </c>
    </row>
    <row r="7976" spans="1:4" ht="30" x14ac:dyDescent="0.25">
      <c r="A7976" s="7" t="s">
        <v>15242</v>
      </c>
      <c r="B7976" s="8" t="s">
        <v>14421</v>
      </c>
      <c r="C7976" s="8" t="s">
        <v>1865</v>
      </c>
      <c r="D7976" s="8" t="str">
        <f>"9789179299859"</f>
        <v>9789179299859</v>
      </c>
    </row>
    <row r="7977" spans="1:4" x14ac:dyDescent="0.25">
      <c r="A7977" s="7" t="s">
        <v>11130</v>
      </c>
      <c r="B7977" s="8" t="s">
        <v>11131</v>
      </c>
      <c r="C7977" s="8" t="s">
        <v>2273</v>
      </c>
      <c r="D7977" s="8" t="str">
        <f>"9783030980726"</f>
        <v>9783030980726</v>
      </c>
    </row>
    <row r="7978" spans="1:4" ht="30" x14ac:dyDescent="0.25">
      <c r="A7978" s="7" t="s">
        <v>14879</v>
      </c>
      <c r="B7978" s="8" t="s">
        <v>14880</v>
      </c>
      <c r="C7978" s="8" t="s">
        <v>1865</v>
      </c>
      <c r="D7978" s="8" t="str">
        <f>"9789175194400"</f>
        <v>9789175194400</v>
      </c>
    </row>
    <row r="7979" spans="1:4" x14ac:dyDescent="0.25">
      <c r="A7979" s="7" t="s">
        <v>3247</v>
      </c>
      <c r="B7979" s="8" t="s">
        <v>3248</v>
      </c>
      <c r="C7979" s="8" t="s">
        <v>1865</v>
      </c>
      <c r="D7979" s="8" t="str">
        <f>"9789176854884"</f>
        <v>9789176854884</v>
      </c>
    </row>
    <row r="7980" spans="1:4" x14ac:dyDescent="0.25">
      <c r="A7980" s="7" t="s">
        <v>4445</v>
      </c>
      <c r="B7980" s="8" t="s">
        <v>4446</v>
      </c>
      <c r="C7980" s="8" t="s">
        <v>1865</v>
      </c>
      <c r="D7980" s="8" t="str">
        <f>"9789176851289"</f>
        <v>9789176851289</v>
      </c>
    </row>
    <row r="7981" spans="1:4" x14ac:dyDescent="0.25">
      <c r="A7981" s="7" t="s">
        <v>16206</v>
      </c>
      <c r="B7981" s="8" t="s">
        <v>16207</v>
      </c>
      <c r="C7981" s="8" t="s">
        <v>1865</v>
      </c>
      <c r="D7981" s="8" t="str">
        <f>"9789176852354"</f>
        <v>9789176852354</v>
      </c>
    </row>
    <row r="7982" spans="1:4" x14ac:dyDescent="0.25">
      <c r="A7982" s="7" t="s">
        <v>15214</v>
      </c>
      <c r="B7982" s="8" t="s">
        <v>4700</v>
      </c>
      <c r="C7982" s="8" t="s">
        <v>1865</v>
      </c>
      <c r="D7982" s="8" t="str">
        <f>"9789175191980"</f>
        <v>9789175191980</v>
      </c>
    </row>
    <row r="7983" spans="1:4" x14ac:dyDescent="0.25">
      <c r="A7983" s="7" t="s">
        <v>4121</v>
      </c>
      <c r="B7983" s="8" t="s">
        <v>4122</v>
      </c>
      <c r="C7983" s="8" t="s">
        <v>1865</v>
      </c>
      <c r="D7983" s="8" t="str">
        <f>"9789176852170"</f>
        <v>9789176852170</v>
      </c>
    </row>
    <row r="7984" spans="1:4" ht="30" x14ac:dyDescent="0.25">
      <c r="A7984" s="7" t="s">
        <v>8729</v>
      </c>
      <c r="B7984" s="8" t="s">
        <v>8730</v>
      </c>
      <c r="C7984" s="8" t="s">
        <v>2273</v>
      </c>
      <c r="D7984" s="8" t="str">
        <f>"9783030820725"</f>
        <v>9783030820725</v>
      </c>
    </row>
    <row r="7985" spans="1:4" ht="30" x14ac:dyDescent="0.25">
      <c r="A7985" s="7" t="s">
        <v>13518</v>
      </c>
      <c r="B7985" s="8" t="s">
        <v>13519</v>
      </c>
      <c r="C7985" s="8" t="s">
        <v>2273</v>
      </c>
      <c r="D7985" s="8" t="str">
        <f>"9783031132766"</f>
        <v>9783031132766</v>
      </c>
    </row>
    <row r="7986" spans="1:4" x14ac:dyDescent="0.25">
      <c r="A7986" s="7" t="s">
        <v>15840</v>
      </c>
      <c r="B7986" s="8" t="s">
        <v>15841</v>
      </c>
      <c r="C7986" s="8" t="s">
        <v>1865</v>
      </c>
      <c r="D7986" s="8" t="str">
        <f>"9789176858578"</f>
        <v>9789176858578</v>
      </c>
    </row>
    <row r="7987" spans="1:4" x14ac:dyDescent="0.25">
      <c r="A7987" s="7" t="s">
        <v>15108</v>
      </c>
      <c r="B7987" s="8" t="s">
        <v>8106</v>
      </c>
      <c r="C7987" s="8" t="s">
        <v>1865</v>
      </c>
      <c r="D7987" s="8" t="str">
        <f>"9789176854792"</f>
        <v>9789176854792</v>
      </c>
    </row>
    <row r="7988" spans="1:4" ht="30" x14ac:dyDescent="0.25">
      <c r="A7988" s="7" t="s">
        <v>8128</v>
      </c>
      <c r="B7988" s="8" t="s">
        <v>8129</v>
      </c>
      <c r="C7988" s="8" t="s">
        <v>993</v>
      </c>
      <c r="D7988" s="8" t="str">
        <f>"9783839451502"</f>
        <v>9783839451502</v>
      </c>
    </row>
    <row r="7989" spans="1:4" x14ac:dyDescent="0.25">
      <c r="A7989" s="7" t="s">
        <v>15965</v>
      </c>
      <c r="B7989" s="8" t="s">
        <v>15966</v>
      </c>
      <c r="C7989" s="8" t="s">
        <v>1865</v>
      </c>
      <c r="D7989" s="8" t="str">
        <f>"9789173939317"</f>
        <v>9789173939317</v>
      </c>
    </row>
    <row r="7990" spans="1:4" ht="30" x14ac:dyDescent="0.25">
      <c r="A7990" s="7" t="s">
        <v>14896</v>
      </c>
      <c r="B7990" s="8" t="s">
        <v>14897</v>
      </c>
      <c r="C7990" s="8" t="s">
        <v>1865</v>
      </c>
      <c r="D7990" s="8" t="str">
        <f>"9789175199016"</f>
        <v>9789175199016</v>
      </c>
    </row>
    <row r="7991" spans="1:4" x14ac:dyDescent="0.25">
      <c r="A7991" s="7" t="s">
        <v>14538</v>
      </c>
      <c r="B7991" s="8" t="s">
        <v>14539</v>
      </c>
      <c r="C7991" s="8" t="s">
        <v>1865</v>
      </c>
      <c r="D7991" s="8" t="str">
        <f>"9789179297619"</f>
        <v>9789179297619</v>
      </c>
    </row>
    <row r="7992" spans="1:4" ht="30" x14ac:dyDescent="0.25">
      <c r="A7992" s="7" t="s">
        <v>12210</v>
      </c>
      <c r="B7992" s="8" t="s">
        <v>12211</v>
      </c>
      <c r="C7992" s="8" t="s">
        <v>2273</v>
      </c>
      <c r="D7992" s="8" t="str">
        <f>"9783030989897"</f>
        <v>9783030989897</v>
      </c>
    </row>
    <row r="7993" spans="1:4" ht="30" x14ac:dyDescent="0.25">
      <c r="A7993" s="7" t="s">
        <v>14300</v>
      </c>
      <c r="B7993" s="8" t="s">
        <v>14301</v>
      </c>
      <c r="C7993" s="8" t="s">
        <v>2273</v>
      </c>
      <c r="D7993" s="8" t="str">
        <f>"9783031261558"</f>
        <v>9783031261558</v>
      </c>
    </row>
    <row r="7994" spans="1:4" ht="30" x14ac:dyDescent="0.25">
      <c r="A7994" s="7" t="s">
        <v>15723</v>
      </c>
      <c r="B7994" s="8" t="s">
        <v>15724</v>
      </c>
      <c r="C7994" s="8" t="s">
        <v>1865</v>
      </c>
      <c r="D7994" s="8" t="str">
        <f>"9789180750233"</f>
        <v>9789180750233</v>
      </c>
    </row>
    <row r="7995" spans="1:4" ht="30" x14ac:dyDescent="0.25">
      <c r="A7995" s="7" t="s">
        <v>4822</v>
      </c>
      <c r="B7995" s="8" t="s">
        <v>4823</v>
      </c>
      <c r="C7995" s="8" t="s">
        <v>1865</v>
      </c>
      <c r="D7995" s="8" t="str">
        <f>"9789179299828"</f>
        <v>9789179299828</v>
      </c>
    </row>
    <row r="7996" spans="1:4" x14ac:dyDescent="0.25">
      <c r="A7996" s="7" t="s">
        <v>7002</v>
      </c>
      <c r="B7996" s="8" t="s">
        <v>7003</v>
      </c>
      <c r="C7996" s="8" t="s">
        <v>355</v>
      </c>
      <c r="D7996" s="8" t="str">
        <f>"9783110697179"</f>
        <v>9783110697179</v>
      </c>
    </row>
    <row r="7997" spans="1:4" x14ac:dyDescent="0.25">
      <c r="A7997" s="7" t="s">
        <v>9172</v>
      </c>
      <c r="B7997" s="8" t="s">
        <v>9173</v>
      </c>
      <c r="C7997" s="8" t="s">
        <v>4882</v>
      </c>
      <c r="D7997" s="8" t="str">
        <f>"9781786948243"</f>
        <v>9781786948243</v>
      </c>
    </row>
    <row r="7998" spans="1:4" x14ac:dyDescent="0.25">
      <c r="A7998" s="7" t="s">
        <v>11447</v>
      </c>
      <c r="B7998" s="8" t="s">
        <v>11448</v>
      </c>
      <c r="C7998" s="8" t="s">
        <v>355</v>
      </c>
      <c r="D7998" s="8" t="str">
        <f>"9783110665376"</f>
        <v>9783110665376</v>
      </c>
    </row>
    <row r="7999" spans="1:4" x14ac:dyDescent="0.25">
      <c r="A7999" s="7" t="s">
        <v>2690</v>
      </c>
      <c r="B7999" s="8" t="s">
        <v>169</v>
      </c>
      <c r="C7999" s="8" t="s">
        <v>355</v>
      </c>
      <c r="D7999" s="8" t="str">
        <f>"9783110479010"</f>
        <v>9783110479010</v>
      </c>
    </row>
    <row r="8000" spans="1:4" ht="30" x14ac:dyDescent="0.25">
      <c r="A8000" s="7" t="s">
        <v>7200</v>
      </c>
      <c r="B8000" s="8" t="s">
        <v>7201</v>
      </c>
      <c r="C8000" s="8" t="s">
        <v>355</v>
      </c>
      <c r="D8000" s="8" t="str">
        <f>"9783110639438"</f>
        <v>9783110639438</v>
      </c>
    </row>
    <row r="8001" spans="1:4" ht="30" x14ac:dyDescent="0.25">
      <c r="A8001" s="7" t="s">
        <v>7076</v>
      </c>
      <c r="B8001" s="8" t="s">
        <v>7077</v>
      </c>
      <c r="C8001" s="8" t="s">
        <v>355</v>
      </c>
      <c r="D8001" s="8" t="str">
        <f>"9783110639452"</f>
        <v>9783110639452</v>
      </c>
    </row>
    <row r="8002" spans="1:4" ht="30" x14ac:dyDescent="0.25">
      <c r="A8002" s="7" t="s">
        <v>7237</v>
      </c>
      <c r="B8002" s="8" t="s">
        <v>7238</v>
      </c>
      <c r="C8002" s="8" t="s">
        <v>355</v>
      </c>
      <c r="D8002" s="8" t="str">
        <f>"9783110639476"</f>
        <v>9783110639476</v>
      </c>
    </row>
    <row r="8003" spans="1:4" x14ac:dyDescent="0.25">
      <c r="A8003" s="7" t="s">
        <v>16280</v>
      </c>
      <c r="B8003" s="8" t="s">
        <v>16281</v>
      </c>
      <c r="C8003" s="8" t="s">
        <v>1865</v>
      </c>
      <c r="D8003" s="8" t="str">
        <f>"9789175199412"</f>
        <v>9789175199412</v>
      </c>
    </row>
    <row r="8004" spans="1:4" x14ac:dyDescent="0.25">
      <c r="A8004" s="7" t="s">
        <v>15969</v>
      </c>
      <c r="B8004" s="8" t="s">
        <v>4202</v>
      </c>
      <c r="C8004" s="8" t="s">
        <v>1865</v>
      </c>
      <c r="D8004" s="8" t="str">
        <f>"9789176856710"</f>
        <v>9789176856710</v>
      </c>
    </row>
    <row r="8005" spans="1:4" x14ac:dyDescent="0.25">
      <c r="A8005" s="7" t="s">
        <v>4201</v>
      </c>
      <c r="B8005" s="8" t="s">
        <v>4202</v>
      </c>
      <c r="C8005" s="8" t="s">
        <v>1865</v>
      </c>
      <c r="D8005" s="8" t="str">
        <f>"9789176852002"</f>
        <v>9789176852002</v>
      </c>
    </row>
    <row r="8006" spans="1:4" x14ac:dyDescent="0.25">
      <c r="A8006" s="7" t="s">
        <v>559</v>
      </c>
      <c r="B8006" s="8" t="s">
        <v>560</v>
      </c>
      <c r="C8006" s="8" t="s">
        <v>316</v>
      </c>
      <c r="D8006" s="8" t="str">
        <f>"9783110315981"</f>
        <v>9783110315981</v>
      </c>
    </row>
    <row r="8007" spans="1:4" ht="30" x14ac:dyDescent="0.25">
      <c r="A8007" s="7" t="s">
        <v>7265</v>
      </c>
      <c r="B8007" s="8" t="s">
        <v>173</v>
      </c>
      <c r="C8007" s="8" t="s">
        <v>355</v>
      </c>
      <c r="D8007" s="8" t="str">
        <f>"9783110541588"</f>
        <v>9783110541588</v>
      </c>
    </row>
    <row r="8008" spans="1:4" x14ac:dyDescent="0.25">
      <c r="A8008" s="7" t="s">
        <v>9296</v>
      </c>
      <c r="B8008" s="8" t="s">
        <v>9297</v>
      </c>
      <c r="C8008" s="8" t="s">
        <v>9256</v>
      </c>
      <c r="D8008" s="8" t="str">
        <f>"9788021093959"</f>
        <v>9788021093959</v>
      </c>
    </row>
    <row r="8009" spans="1:4" x14ac:dyDescent="0.25">
      <c r="A8009" s="7" t="s">
        <v>11809</v>
      </c>
      <c r="B8009" s="8" t="s">
        <v>11810</v>
      </c>
      <c r="C8009" s="8" t="s">
        <v>355</v>
      </c>
      <c r="D8009" s="8" t="str">
        <f>"9783110682106"</f>
        <v>9783110682106</v>
      </c>
    </row>
    <row r="8010" spans="1:4" ht="30" x14ac:dyDescent="0.25">
      <c r="A8010" s="7" t="s">
        <v>4284</v>
      </c>
      <c r="B8010" s="8" t="s">
        <v>1444</v>
      </c>
      <c r="C8010" s="8" t="s">
        <v>1345</v>
      </c>
      <c r="D8010" s="8" t="str">
        <f>"9783737606110"</f>
        <v>9783737606110</v>
      </c>
    </row>
    <row r="8011" spans="1:4" x14ac:dyDescent="0.25">
      <c r="A8011" s="7" t="s">
        <v>1443</v>
      </c>
      <c r="B8011" s="8" t="s">
        <v>1444</v>
      </c>
      <c r="C8011" s="8" t="s">
        <v>1345</v>
      </c>
      <c r="D8011" s="8" t="str">
        <f>"9783862191512"</f>
        <v>9783862191512</v>
      </c>
    </row>
    <row r="8012" spans="1:4" x14ac:dyDescent="0.25">
      <c r="A8012" s="7" t="s">
        <v>7183</v>
      </c>
      <c r="B8012" s="8" t="s">
        <v>7184</v>
      </c>
      <c r="C8012" s="8" t="s">
        <v>355</v>
      </c>
      <c r="D8012" s="8" t="str">
        <f>"9783110621365"</f>
        <v>9783110621365</v>
      </c>
    </row>
    <row r="8013" spans="1:4" ht="30" x14ac:dyDescent="0.25">
      <c r="A8013" s="7" t="s">
        <v>2353</v>
      </c>
      <c r="B8013" s="8" t="s">
        <v>2354</v>
      </c>
      <c r="C8013" s="8" t="s">
        <v>1345</v>
      </c>
      <c r="D8013" s="8" t="str">
        <f>"9783737600057"</f>
        <v>9783737600057</v>
      </c>
    </row>
    <row r="8014" spans="1:4" x14ac:dyDescent="0.25">
      <c r="A8014" s="7" t="s">
        <v>6662</v>
      </c>
      <c r="B8014" s="8" t="s">
        <v>6663</v>
      </c>
      <c r="C8014" s="8" t="s">
        <v>1865</v>
      </c>
      <c r="D8014" s="8" t="str">
        <f>"9789179296933"</f>
        <v>9789179296933</v>
      </c>
    </row>
    <row r="8015" spans="1:4" ht="30" x14ac:dyDescent="0.25">
      <c r="A8015" s="7" t="s">
        <v>14751</v>
      </c>
      <c r="B8015" s="8" t="s">
        <v>14752</v>
      </c>
      <c r="C8015" s="8" t="s">
        <v>1865</v>
      </c>
      <c r="D8015" s="8" t="str">
        <f>"9789175192543"</f>
        <v>9789175192543</v>
      </c>
    </row>
    <row r="8016" spans="1:4" x14ac:dyDescent="0.25">
      <c r="A8016" s="7" t="s">
        <v>8489</v>
      </c>
      <c r="B8016" s="8" t="s">
        <v>8490</v>
      </c>
      <c r="C8016" s="8" t="s">
        <v>993</v>
      </c>
      <c r="D8016" s="8" t="str">
        <f>"9783839441084"</f>
        <v>9783839441084</v>
      </c>
    </row>
    <row r="8017" spans="1:4" ht="30" x14ac:dyDescent="0.25">
      <c r="A8017" s="7" t="s">
        <v>8547</v>
      </c>
      <c r="B8017" s="8" t="s">
        <v>8548</v>
      </c>
      <c r="C8017" s="8" t="s">
        <v>993</v>
      </c>
      <c r="D8017" s="8" t="str">
        <f>"9783839432488"</f>
        <v>9783839432488</v>
      </c>
    </row>
    <row r="8018" spans="1:4" ht="30" x14ac:dyDescent="0.25">
      <c r="A8018" s="7" t="s">
        <v>9272</v>
      </c>
      <c r="B8018" s="8" t="s">
        <v>223</v>
      </c>
      <c r="C8018" s="8" t="s">
        <v>9256</v>
      </c>
      <c r="D8018" s="8" t="str">
        <f>"9788021085695"</f>
        <v>9788021085695</v>
      </c>
    </row>
    <row r="8019" spans="1:4" x14ac:dyDescent="0.25">
      <c r="A8019" s="7" t="s">
        <v>5873</v>
      </c>
      <c r="B8019" s="8" t="s">
        <v>5874</v>
      </c>
      <c r="C8019" s="8" t="s">
        <v>5086</v>
      </c>
      <c r="D8019" s="8" t="str">
        <f>"9783658215309"</f>
        <v>9783658215309</v>
      </c>
    </row>
    <row r="8020" spans="1:4" ht="30" x14ac:dyDescent="0.25">
      <c r="A8020" s="7" t="s">
        <v>8318</v>
      </c>
      <c r="B8020" s="8" t="s">
        <v>8319</v>
      </c>
      <c r="C8020" s="8" t="s">
        <v>993</v>
      </c>
      <c r="D8020" s="8" t="str">
        <f>"9783839451748"</f>
        <v>9783839451748</v>
      </c>
    </row>
    <row r="8021" spans="1:4" x14ac:dyDescent="0.25">
      <c r="A8021" s="7" t="s">
        <v>12976</v>
      </c>
      <c r="B8021" s="8" t="s">
        <v>12977</v>
      </c>
      <c r="C8021" s="8" t="s">
        <v>12712</v>
      </c>
      <c r="D8021" s="8" t="str">
        <f>"9783428459902"</f>
        <v>9783428459902</v>
      </c>
    </row>
    <row r="8022" spans="1:4" x14ac:dyDescent="0.25">
      <c r="A8022" s="7" t="s">
        <v>9249</v>
      </c>
      <c r="B8022" s="8" t="s">
        <v>9250</v>
      </c>
      <c r="C8022" s="8" t="s">
        <v>2273</v>
      </c>
      <c r="D8022" s="8" t="str">
        <f>"9783030932541"</f>
        <v>9783030932541</v>
      </c>
    </row>
    <row r="8023" spans="1:4" x14ac:dyDescent="0.25">
      <c r="A8023" s="7" t="s">
        <v>13440</v>
      </c>
      <c r="B8023" s="8" t="s">
        <v>13441</v>
      </c>
      <c r="C8023" s="8" t="s">
        <v>2274</v>
      </c>
      <c r="D8023" s="8" t="str">
        <f>"9789811959080"</f>
        <v>9789811959080</v>
      </c>
    </row>
    <row r="8024" spans="1:4" ht="30" x14ac:dyDescent="0.25">
      <c r="A8024" s="7" t="s">
        <v>8984</v>
      </c>
      <c r="B8024" s="8" t="s">
        <v>8985</v>
      </c>
      <c r="C8024" s="8" t="s">
        <v>2273</v>
      </c>
      <c r="D8024" s="8" t="str">
        <f>"9783030788537"</f>
        <v>9783030788537</v>
      </c>
    </row>
    <row r="8025" spans="1:4" ht="30" x14ac:dyDescent="0.25">
      <c r="A8025" s="7" t="s">
        <v>13717</v>
      </c>
      <c r="B8025" s="8" t="s">
        <v>13718</v>
      </c>
      <c r="C8025" s="8" t="s">
        <v>993</v>
      </c>
      <c r="D8025" s="8" t="str">
        <f>"9783839464465"</f>
        <v>9783839464465</v>
      </c>
    </row>
    <row r="8026" spans="1:4" x14ac:dyDescent="0.25">
      <c r="A8026" s="7" t="s">
        <v>3002</v>
      </c>
      <c r="B8026" s="8" t="s">
        <v>3003</v>
      </c>
      <c r="C8026" s="8" t="s">
        <v>1962</v>
      </c>
      <c r="D8026" s="8" t="str">
        <f>"9782759226153"</f>
        <v>9782759226153</v>
      </c>
    </row>
    <row r="8027" spans="1:4" ht="30" x14ac:dyDescent="0.25">
      <c r="A8027" s="7" t="s">
        <v>15773</v>
      </c>
      <c r="B8027" s="8" t="s">
        <v>15774</v>
      </c>
      <c r="C8027" s="8" t="s">
        <v>1865</v>
      </c>
      <c r="D8027" s="8" t="str">
        <f>"9789180750936"</f>
        <v>9789180750936</v>
      </c>
    </row>
    <row r="8028" spans="1:4" ht="30" x14ac:dyDescent="0.25">
      <c r="A8028" s="7" t="s">
        <v>8790</v>
      </c>
      <c r="B8028" s="8" t="s">
        <v>8791</v>
      </c>
      <c r="C8028" s="8" t="s">
        <v>1962</v>
      </c>
      <c r="D8028" s="8" t="str">
        <f>"9782759233977"</f>
        <v>9782759233977</v>
      </c>
    </row>
    <row r="8029" spans="1:4" ht="30" x14ac:dyDescent="0.25">
      <c r="A8029" s="7" t="s">
        <v>13781</v>
      </c>
      <c r="B8029" s="8" t="s">
        <v>13782</v>
      </c>
      <c r="C8029" s="8" t="s">
        <v>2273</v>
      </c>
      <c r="D8029" s="8" t="str">
        <f>"9783031115783"</f>
        <v>9783031115783</v>
      </c>
    </row>
    <row r="8030" spans="1:4" ht="30" x14ac:dyDescent="0.25">
      <c r="A8030" s="7" t="s">
        <v>8598</v>
      </c>
      <c r="B8030" s="8" t="s">
        <v>6915</v>
      </c>
      <c r="C8030" s="8" t="s">
        <v>1342</v>
      </c>
      <c r="D8030" s="8" t="str">
        <f>"9789633864128"</f>
        <v>9789633864128</v>
      </c>
    </row>
    <row r="8031" spans="1:4" x14ac:dyDescent="0.25">
      <c r="A8031" s="7" t="s">
        <v>13552</v>
      </c>
      <c r="B8031" s="8" t="s">
        <v>13553</v>
      </c>
      <c r="C8031" s="8" t="s">
        <v>2273</v>
      </c>
      <c r="D8031" s="8" t="str">
        <f>"9783030930721"</f>
        <v>9783030930721</v>
      </c>
    </row>
    <row r="8032" spans="1:4" x14ac:dyDescent="0.25">
      <c r="A8032" s="7" t="s">
        <v>5689</v>
      </c>
      <c r="B8032" s="8" t="s">
        <v>5690</v>
      </c>
      <c r="C8032" s="8" t="s">
        <v>5134</v>
      </c>
      <c r="D8032" s="8" t="str">
        <f>"9783642280092"</f>
        <v>9783642280092</v>
      </c>
    </row>
    <row r="8033" spans="1:4" ht="30" x14ac:dyDescent="0.25">
      <c r="A8033" s="7" t="s">
        <v>8454</v>
      </c>
      <c r="B8033" s="8" t="s">
        <v>8455</v>
      </c>
      <c r="C8033" s="8" t="s">
        <v>993</v>
      </c>
      <c r="D8033" s="8" t="str">
        <f>"9783839450482"</f>
        <v>9783839450482</v>
      </c>
    </row>
    <row r="8034" spans="1:4" x14ac:dyDescent="0.25">
      <c r="A8034" s="7" t="s">
        <v>9872</v>
      </c>
      <c r="B8034" s="8" t="s">
        <v>9873</v>
      </c>
      <c r="C8034" s="8" t="s">
        <v>993</v>
      </c>
      <c r="D8034" s="8" t="str">
        <f>"9783839406991"</f>
        <v>9783839406991</v>
      </c>
    </row>
    <row r="8035" spans="1:4" x14ac:dyDescent="0.25">
      <c r="A8035" s="7" t="s">
        <v>919</v>
      </c>
      <c r="B8035" s="8" t="s">
        <v>920</v>
      </c>
      <c r="C8035" s="8" t="s">
        <v>329</v>
      </c>
      <c r="D8035" s="8" t="str">
        <f>"9789048523160"</f>
        <v>9789048523160</v>
      </c>
    </row>
    <row r="8036" spans="1:4" ht="30" x14ac:dyDescent="0.25">
      <c r="A8036" s="7" t="s">
        <v>9112</v>
      </c>
      <c r="B8036" s="8" t="s">
        <v>8050</v>
      </c>
      <c r="C8036" s="8" t="s">
        <v>4245</v>
      </c>
      <c r="D8036" s="8" t="str">
        <f>"9789811686030"</f>
        <v>9789811686030</v>
      </c>
    </row>
    <row r="8037" spans="1:4" ht="30" x14ac:dyDescent="0.25">
      <c r="A8037" s="7" t="s">
        <v>15187</v>
      </c>
      <c r="B8037" s="8" t="s">
        <v>15188</v>
      </c>
      <c r="C8037" s="8" t="s">
        <v>1865</v>
      </c>
      <c r="D8037" s="8" t="str">
        <f>"9789175196381"</f>
        <v>9789175196381</v>
      </c>
    </row>
    <row r="8038" spans="1:4" x14ac:dyDescent="0.25">
      <c r="A8038" s="7" t="s">
        <v>5640</v>
      </c>
      <c r="B8038" s="8" t="s">
        <v>5641</v>
      </c>
      <c r="C8038" s="8" t="s">
        <v>2273</v>
      </c>
      <c r="D8038" s="8" t="str">
        <f>"9783319316222"</f>
        <v>9783319316222</v>
      </c>
    </row>
    <row r="8039" spans="1:4" x14ac:dyDescent="0.25">
      <c r="A8039" s="7" t="s">
        <v>10001</v>
      </c>
      <c r="B8039" s="8" t="s">
        <v>10002</v>
      </c>
      <c r="C8039" s="8" t="s">
        <v>993</v>
      </c>
      <c r="D8039" s="8" t="str">
        <f>"9783839409794"</f>
        <v>9783839409794</v>
      </c>
    </row>
    <row r="8040" spans="1:4" x14ac:dyDescent="0.25">
      <c r="A8040" s="7" t="s">
        <v>9703</v>
      </c>
      <c r="B8040" s="8" t="s">
        <v>148</v>
      </c>
      <c r="C8040" s="8" t="s">
        <v>993</v>
      </c>
      <c r="D8040" s="8" t="str">
        <f>"9783839402214"</f>
        <v>9783839402214</v>
      </c>
    </row>
    <row r="8041" spans="1:4" ht="30" x14ac:dyDescent="0.25">
      <c r="A8041" s="7" t="s">
        <v>2553</v>
      </c>
      <c r="B8041" s="8" t="s">
        <v>2554</v>
      </c>
      <c r="C8041" s="8" t="s">
        <v>355</v>
      </c>
      <c r="D8041" s="8" t="str">
        <f>"9783110453959"</f>
        <v>9783110453959</v>
      </c>
    </row>
    <row r="8042" spans="1:4" x14ac:dyDescent="0.25">
      <c r="A8042" s="7" t="s">
        <v>14936</v>
      </c>
      <c r="B8042" s="8" t="s">
        <v>14937</v>
      </c>
      <c r="C8042" s="8" t="s">
        <v>1865</v>
      </c>
      <c r="D8042" s="8" t="str">
        <f>"9789176858325"</f>
        <v>9789176858325</v>
      </c>
    </row>
    <row r="8043" spans="1:4" x14ac:dyDescent="0.25">
      <c r="A8043" s="7" t="s">
        <v>2777</v>
      </c>
      <c r="B8043" s="8" t="s">
        <v>2778</v>
      </c>
      <c r="C8043" s="8" t="s">
        <v>993</v>
      </c>
      <c r="D8043" s="8" t="str">
        <f>"9783839436660"</f>
        <v>9783839436660</v>
      </c>
    </row>
    <row r="8044" spans="1:4" ht="30" x14ac:dyDescent="0.25">
      <c r="A8044" s="7" t="s">
        <v>7328</v>
      </c>
      <c r="B8044" s="8" t="s">
        <v>7329</v>
      </c>
      <c r="C8044" s="8" t="s">
        <v>2273</v>
      </c>
      <c r="D8044" s="8" t="str">
        <f>"9783030738358"</f>
        <v>9783030738358</v>
      </c>
    </row>
    <row r="8045" spans="1:4" x14ac:dyDescent="0.25">
      <c r="A8045" s="7" t="s">
        <v>10675</v>
      </c>
      <c r="B8045" s="8" t="s">
        <v>10676</v>
      </c>
      <c r="C8045" s="8" t="s">
        <v>4882</v>
      </c>
      <c r="D8045" s="8" t="str">
        <f>"9781800345560"</f>
        <v>9781800345560</v>
      </c>
    </row>
    <row r="8046" spans="1:4" x14ac:dyDescent="0.25">
      <c r="A8046" s="7" t="s">
        <v>7637</v>
      </c>
      <c r="B8046" s="8" t="s">
        <v>7638</v>
      </c>
      <c r="C8046" s="8" t="s">
        <v>993</v>
      </c>
      <c r="D8046" s="8" t="str">
        <f>"9783839424957"</f>
        <v>9783839424957</v>
      </c>
    </row>
    <row r="8047" spans="1:4" ht="30" x14ac:dyDescent="0.25">
      <c r="A8047" s="7" t="s">
        <v>5528</v>
      </c>
      <c r="B8047" s="8" t="s">
        <v>5529</v>
      </c>
      <c r="C8047" s="8" t="s">
        <v>2273</v>
      </c>
      <c r="D8047" s="8" t="str">
        <f>"9783030496593"</f>
        <v>9783030496593</v>
      </c>
    </row>
    <row r="8048" spans="1:4" x14ac:dyDescent="0.25">
      <c r="A8048" s="7" t="s">
        <v>9855</v>
      </c>
      <c r="B8048" s="8" t="s">
        <v>9856</v>
      </c>
      <c r="C8048" s="8" t="s">
        <v>993</v>
      </c>
      <c r="D8048" s="8" t="str">
        <f>"9783839406656"</f>
        <v>9783839406656</v>
      </c>
    </row>
    <row r="8049" spans="1:4" x14ac:dyDescent="0.25">
      <c r="A8049" s="7" t="s">
        <v>9887</v>
      </c>
      <c r="B8049" s="8" t="s">
        <v>198</v>
      </c>
      <c r="C8049" s="8" t="s">
        <v>993</v>
      </c>
      <c r="D8049" s="8" t="str">
        <f>"9783839407455"</f>
        <v>9783839407455</v>
      </c>
    </row>
    <row r="8050" spans="1:4" ht="30" x14ac:dyDescent="0.25">
      <c r="A8050" s="7" t="s">
        <v>10575</v>
      </c>
      <c r="B8050" s="8" t="s">
        <v>10576</v>
      </c>
      <c r="C8050" s="8" t="s">
        <v>993</v>
      </c>
      <c r="D8050" s="8" t="str">
        <f>"9783839460450"</f>
        <v>9783839460450</v>
      </c>
    </row>
    <row r="8051" spans="1:4" x14ac:dyDescent="0.25">
      <c r="A8051" s="7" t="s">
        <v>7677</v>
      </c>
      <c r="B8051" s="8" t="s">
        <v>7678</v>
      </c>
      <c r="C8051" s="8" t="s">
        <v>993</v>
      </c>
      <c r="D8051" s="8" t="str">
        <f>"9783839421543"</f>
        <v>9783839421543</v>
      </c>
    </row>
    <row r="8052" spans="1:4" x14ac:dyDescent="0.25">
      <c r="A8052" s="7" t="s">
        <v>8143</v>
      </c>
      <c r="B8052" s="8" t="s">
        <v>8144</v>
      </c>
      <c r="C8052" s="8" t="s">
        <v>993</v>
      </c>
      <c r="D8052" s="8" t="str">
        <f>"9783839439135"</f>
        <v>9783839439135</v>
      </c>
    </row>
    <row r="8053" spans="1:4" ht="30" x14ac:dyDescent="0.25">
      <c r="A8053" s="7" t="s">
        <v>6277</v>
      </c>
      <c r="B8053" s="8" t="s">
        <v>6278</v>
      </c>
      <c r="C8053" s="8" t="s">
        <v>5086</v>
      </c>
      <c r="D8053" s="8" t="str">
        <f>"9783658316877"</f>
        <v>9783658316877</v>
      </c>
    </row>
    <row r="8054" spans="1:4" x14ac:dyDescent="0.25">
      <c r="A8054" s="7" t="s">
        <v>4143</v>
      </c>
      <c r="B8054" s="8" t="s">
        <v>4144</v>
      </c>
      <c r="C8054" s="8" t="s">
        <v>1865</v>
      </c>
      <c r="D8054" s="8" t="str">
        <f>"9789176851722"</f>
        <v>9789176851722</v>
      </c>
    </row>
    <row r="8055" spans="1:4" x14ac:dyDescent="0.25">
      <c r="A8055" s="7" t="s">
        <v>12425</v>
      </c>
      <c r="B8055" s="8" t="s">
        <v>12426</v>
      </c>
      <c r="C8055" s="8" t="s">
        <v>9602</v>
      </c>
      <c r="D8055" s="8" t="str">
        <f>"9781800104778"</f>
        <v>9781800104778</v>
      </c>
    </row>
    <row r="8056" spans="1:4" x14ac:dyDescent="0.25">
      <c r="A8056" s="7" t="s">
        <v>4571</v>
      </c>
      <c r="B8056" s="8" t="s">
        <v>4572</v>
      </c>
      <c r="C8056" s="8" t="s">
        <v>355</v>
      </c>
      <c r="D8056" s="8" t="str">
        <f>"9783110571240"</f>
        <v>9783110571240</v>
      </c>
    </row>
    <row r="8057" spans="1:4" x14ac:dyDescent="0.25">
      <c r="A8057" s="7" t="s">
        <v>7185</v>
      </c>
      <c r="B8057" s="8" t="s">
        <v>7186</v>
      </c>
      <c r="C8057" s="8" t="s">
        <v>355</v>
      </c>
      <c r="D8057" s="8" t="str">
        <f>"9783110669800"</f>
        <v>9783110669800</v>
      </c>
    </row>
    <row r="8058" spans="1:4" ht="30" x14ac:dyDescent="0.25">
      <c r="A8058" s="7" t="s">
        <v>3458</v>
      </c>
      <c r="B8058" s="8" t="s">
        <v>35</v>
      </c>
      <c r="C8058" s="8" t="s">
        <v>1332</v>
      </c>
      <c r="D8058" s="8" t="str">
        <f>"9781780409146"</f>
        <v>9781780409146</v>
      </c>
    </row>
    <row r="8059" spans="1:4" x14ac:dyDescent="0.25">
      <c r="A8059" s="7" t="s">
        <v>6609</v>
      </c>
      <c r="B8059" s="8" t="s">
        <v>6610</v>
      </c>
      <c r="C8059" s="8" t="s">
        <v>2273</v>
      </c>
      <c r="D8059" s="8" t="str">
        <f>"9783030677121"</f>
        <v>9783030677121</v>
      </c>
    </row>
    <row r="8060" spans="1:4" x14ac:dyDescent="0.25">
      <c r="A8060" s="7" t="s">
        <v>12329</v>
      </c>
      <c r="B8060" s="8" t="s">
        <v>12330</v>
      </c>
      <c r="C8060" s="8" t="s">
        <v>993</v>
      </c>
      <c r="D8060" s="8" t="str">
        <f>"9783839461525"</f>
        <v>9783839461525</v>
      </c>
    </row>
    <row r="8061" spans="1:4" ht="30" x14ac:dyDescent="0.25">
      <c r="A8061" s="7" t="s">
        <v>11398</v>
      </c>
      <c r="B8061" s="8" t="s">
        <v>11399</v>
      </c>
      <c r="C8061" s="8" t="s">
        <v>355</v>
      </c>
      <c r="D8061" s="8" t="str">
        <f>"9783111716343"</f>
        <v>9783111716343</v>
      </c>
    </row>
    <row r="8062" spans="1:4" ht="30" x14ac:dyDescent="0.25">
      <c r="A8062" s="7" t="s">
        <v>11982</v>
      </c>
      <c r="B8062" s="8" t="s">
        <v>11983</v>
      </c>
      <c r="C8062" s="8" t="s">
        <v>2785</v>
      </c>
      <c r="D8062" s="8" t="str">
        <f>"9789811901249"</f>
        <v>9789811901249</v>
      </c>
    </row>
    <row r="8063" spans="1:4" ht="30" x14ac:dyDescent="0.25">
      <c r="A8063" s="7" t="s">
        <v>15433</v>
      </c>
      <c r="B8063" s="8" t="s">
        <v>15296</v>
      </c>
      <c r="C8063" s="8" t="s">
        <v>1865</v>
      </c>
      <c r="D8063" s="8" t="str">
        <f>"9789176851210"</f>
        <v>9789176851210</v>
      </c>
    </row>
    <row r="8064" spans="1:4" x14ac:dyDescent="0.25">
      <c r="A8064" s="7" t="s">
        <v>10234</v>
      </c>
      <c r="B8064" s="8" t="s">
        <v>10235</v>
      </c>
      <c r="C8064" s="8" t="s">
        <v>993</v>
      </c>
      <c r="D8064" s="8" t="str">
        <f>"9783839445518"</f>
        <v>9783839445518</v>
      </c>
    </row>
    <row r="8065" spans="1:4" ht="30" x14ac:dyDescent="0.25">
      <c r="A8065" s="7" t="s">
        <v>14886</v>
      </c>
      <c r="B8065" s="8" t="s">
        <v>14887</v>
      </c>
      <c r="C8065" s="8" t="s">
        <v>1865</v>
      </c>
      <c r="D8065" s="8" t="str">
        <f>"9789175194677"</f>
        <v>9789175194677</v>
      </c>
    </row>
    <row r="8066" spans="1:4" ht="30" x14ac:dyDescent="0.25">
      <c r="A8066" s="7" t="s">
        <v>3371</v>
      </c>
      <c r="B8066" s="8" t="s">
        <v>3372</v>
      </c>
      <c r="C8066" s="8" t="s">
        <v>1865</v>
      </c>
      <c r="D8066" s="8" t="str">
        <f>"9789176854167"</f>
        <v>9789176854167</v>
      </c>
    </row>
    <row r="8067" spans="1:4" ht="30" x14ac:dyDescent="0.25">
      <c r="A8067" s="7" t="s">
        <v>4731</v>
      </c>
      <c r="B8067" s="8" t="s">
        <v>4732</v>
      </c>
      <c r="C8067" s="8" t="s">
        <v>1865</v>
      </c>
      <c r="D8067" s="8" t="str">
        <f>"9789179299903"</f>
        <v>9789179299903</v>
      </c>
    </row>
    <row r="8068" spans="1:4" x14ac:dyDescent="0.25">
      <c r="A8068" s="7" t="s">
        <v>15131</v>
      </c>
      <c r="B8068" s="8" t="s">
        <v>15132</v>
      </c>
      <c r="C8068" s="8" t="s">
        <v>1865</v>
      </c>
      <c r="D8068" s="8" t="str">
        <f>"9789175198620"</f>
        <v>9789175198620</v>
      </c>
    </row>
    <row r="8069" spans="1:4" ht="30" x14ac:dyDescent="0.25">
      <c r="A8069" s="7" t="s">
        <v>6416</v>
      </c>
      <c r="B8069" s="8" t="s">
        <v>6417</v>
      </c>
      <c r="C8069" s="8" t="s">
        <v>1865</v>
      </c>
      <c r="D8069" s="8" t="str">
        <f>"9789179297381"</f>
        <v>9789179297381</v>
      </c>
    </row>
    <row r="8070" spans="1:4" x14ac:dyDescent="0.25">
      <c r="A8070" s="7" t="s">
        <v>6884</v>
      </c>
      <c r="B8070" s="8" t="s">
        <v>6885</v>
      </c>
      <c r="C8070" s="8" t="s">
        <v>2273</v>
      </c>
      <c r="D8070" s="8" t="str">
        <f>"9783030634537"</f>
        <v>9783030634537</v>
      </c>
    </row>
    <row r="8071" spans="1:4" x14ac:dyDescent="0.25">
      <c r="A8071" s="7" t="s">
        <v>11593</v>
      </c>
      <c r="B8071" s="8" t="s">
        <v>11594</v>
      </c>
      <c r="C8071" s="8" t="s">
        <v>355</v>
      </c>
      <c r="D8071" s="8" t="str">
        <f>"9783110743838"</f>
        <v>9783110743838</v>
      </c>
    </row>
    <row r="8072" spans="1:4" ht="30" x14ac:dyDescent="0.25">
      <c r="A8072" s="7" t="s">
        <v>13633</v>
      </c>
      <c r="B8072" s="8" t="s">
        <v>13634</v>
      </c>
      <c r="C8072" s="8" t="s">
        <v>5086</v>
      </c>
      <c r="D8072" s="8" t="str">
        <f>"9783658398651"</f>
        <v>9783658398651</v>
      </c>
    </row>
    <row r="8073" spans="1:4" x14ac:dyDescent="0.25">
      <c r="A8073" s="7" t="s">
        <v>4365</v>
      </c>
      <c r="B8073" s="8" t="s">
        <v>4366</v>
      </c>
      <c r="C8073" s="8" t="s">
        <v>1962</v>
      </c>
      <c r="D8073" s="8" t="str">
        <f>"9782759229420"</f>
        <v>9782759229420</v>
      </c>
    </row>
    <row r="8074" spans="1:4" x14ac:dyDescent="0.25">
      <c r="A8074" s="7" t="s">
        <v>3048</v>
      </c>
      <c r="B8074" s="8" t="s">
        <v>3049</v>
      </c>
      <c r="C8074" s="8" t="s">
        <v>1865</v>
      </c>
      <c r="D8074" s="8" t="str">
        <f>"9789176855744"</f>
        <v>9789176855744</v>
      </c>
    </row>
    <row r="8075" spans="1:4" x14ac:dyDescent="0.25">
      <c r="A8075" s="7" t="s">
        <v>15543</v>
      </c>
      <c r="B8075" s="8" t="s">
        <v>15544</v>
      </c>
      <c r="C8075" s="8" t="s">
        <v>1865</v>
      </c>
      <c r="D8075" s="8" t="str">
        <f>"9789176859933"</f>
        <v>9789176859933</v>
      </c>
    </row>
    <row r="8076" spans="1:4" x14ac:dyDescent="0.25">
      <c r="A8076" s="7" t="s">
        <v>8443</v>
      </c>
      <c r="B8076" s="8" t="s">
        <v>7425</v>
      </c>
      <c r="C8076" s="8" t="s">
        <v>993</v>
      </c>
      <c r="D8076" s="8" t="str">
        <f>"9783839450680"</f>
        <v>9783839450680</v>
      </c>
    </row>
    <row r="8077" spans="1:4" x14ac:dyDescent="0.25">
      <c r="A8077" s="7" t="s">
        <v>3654</v>
      </c>
      <c r="B8077" s="8" t="s">
        <v>64</v>
      </c>
      <c r="C8077" s="8" t="s">
        <v>329</v>
      </c>
      <c r="D8077" s="8" t="str">
        <f>"9789048528981"</f>
        <v>9789048528981</v>
      </c>
    </row>
    <row r="8078" spans="1:4" x14ac:dyDescent="0.25">
      <c r="A8078" s="7" t="s">
        <v>10129</v>
      </c>
      <c r="B8078" s="8" t="s">
        <v>10130</v>
      </c>
      <c r="C8078" s="8" t="s">
        <v>993</v>
      </c>
      <c r="D8078" s="8" t="str">
        <f>"9783839437827"</f>
        <v>9783839437827</v>
      </c>
    </row>
    <row r="8079" spans="1:4" x14ac:dyDescent="0.25">
      <c r="A8079" s="7" t="s">
        <v>1285</v>
      </c>
      <c r="B8079" s="8" t="s">
        <v>1235</v>
      </c>
      <c r="C8079" s="8" t="s">
        <v>1224</v>
      </c>
      <c r="D8079" s="8" t="str">
        <f>"9781618111241"</f>
        <v>9781618111241</v>
      </c>
    </row>
    <row r="8080" spans="1:4" x14ac:dyDescent="0.25">
      <c r="A8080" s="7" t="s">
        <v>5752</v>
      </c>
      <c r="B8080" s="8" t="s">
        <v>5753</v>
      </c>
      <c r="C8080" s="8" t="s">
        <v>2273</v>
      </c>
      <c r="D8080" s="8" t="str">
        <f>"9783319191324"</f>
        <v>9783319191324</v>
      </c>
    </row>
    <row r="8081" spans="1:4" x14ac:dyDescent="0.25">
      <c r="A8081" s="7" t="s">
        <v>2933</v>
      </c>
      <c r="B8081" s="8" t="s">
        <v>2934</v>
      </c>
      <c r="C8081" s="8" t="s">
        <v>1865</v>
      </c>
      <c r="D8081" s="8" t="str">
        <f>"9789176856277"</f>
        <v>9789176856277</v>
      </c>
    </row>
    <row r="8082" spans="1:4" x14ac:dyDescent="0.25">
      <c r="A8082" s="7" t="s">
        <v>10444</v>
      </c>
      <c r="B8082" s="8" t="s">
        <v>10445</v>
      </c>
      <c r="C8082" s="8" t="s">
        <v>993</v>
      </c>
      <c r="D8082" s="8" t="str">
        <f>"9783839456811"</f>
        <v>9783839456811</v>
      </c>
    </row>
    <row r="8083" spans="1:4" x14ac:dyDescent="0.25">
      <c r="A8083" s="7" t="s">
        <v>905</v>
      </c>
      <c r="B8083" s="8" t="s">
        <v>906</v>
      </c>
      <c r="C8083" s="8" t="s">
        <v>329</v>
      </c>
      <c r="D8083" s="8" t="str">
        <f>"9789048524365"</f>
        <v>9789048524365</v>
      </c>
    </row>
    <row r="8084" spans="1:4" x14ac:dyDescent="0.25">
      <c r="A8084" s="7" t="s">
        <v>6849</v>
      </c>
      <c r="B8084" s="8" t="s">
        <v>6850</v>
      </c>
      <c r="C8084" s="8" t="s">
        <v>1865</v>
      </c>
      <c r="D8084" s="8" t="str">
        <f>"9789179296865"</f>
        <v>9789179296865</v>
      </c>
    </row>
    <row r="8085" spans="1:4" ht="30" x14ac:dyDescent="0.25">
      <c r="A8085" s="7" t="s">
        <v>16387</v>
      </c>
      <c r="B8085" s="8" t="s">
        <v>16388</v>
      </c>
      <c r="C8085" s="8" t="s">
        <v>1865</v>
      </c>
      <c r="D8085" s="8" t="str">
        <f>"9789175194738"</f>
        <v>9789175194738</v>
      </c>
    </row>
    <row r="8086" spans="1:4" x14ac:dyDescent="0.25">
      <c r="A8086" s="7" t="s">
        <v>428</v>
      </c>
      <c r="B8086" s="8" t="s">
        <v>429</v>
      </c>
      <c r="C8086" s="8" t="s">
        <v>227</v>
      </c>
      <c r="D8086" s="8" t="str">
        <f>"9781847790729"</f>
        <v>9781847790729</v>
      </c>
    </row>
    <row r="8087" spans="1:4" x14ac:dyDescent="0.25">
      <c r="A8087" s="7" t="s">
        <v>1290</v>
      </c>
      <c r="B8087" s="8" t="s">
        <v>1291</v>
      </c>
      <c r="C8087" s="8" t="s">
        <v>1224</v>
      </c>
      <c r="D8087" s="8" t="str">
        <f>"9781618110817"</f>
        <v>9781618110817</v>
      </c>
    </row>
    <row r="8088" spans="1:4" x14ac:dyDescent="0.25">
      <c r="A8088" s="7" t="s">
        <v>15637</v>
      </c>
      <c r="B8088" s="8" t="s">
        <v>15638</v>
      </c>
      <c r="C8088" s="8" t="s">
        <v>1865</v>
      </c>
      <c r="D8088" s="8" t="str">
        <f>"9789175196015"</f>
        <v>9789175196015</v>
      </c>
    </row>
    <row r="8089" spans="1:4" x14ac:dyDescent="0.25">
      <c r="A8089" s="7" t="s">
        <v>3206</v>
      </c>
      <c r="B8089" s="8" t="s">
        <v>3207</v>
      </c>
      <c r="C8089" s="8" t="s">
        <v>1879</v>
      </c>
      <c r="D8089" s="8" t="str">
        <f>"9781783740895"</f>
        <v>9781783740895</v>
      </c>
    </row>
    <row r="8090" spans="1:4" ht="30" x14ac:dyDescent="0.25">
      <c r="A8090" s="7" t="s">
        <v>5662</v>
      </c>
      <c r="B8090" s="8" t="s">
        <v>5663</v>
      </c>
      <c r="C8090" s="8" t="s">
        <v>5086</v>
      </c>
      <c r="D8090" s="8" t="str">
        <f>"9783658144142"</f>
        <v>9783658144142</v>
      </c>
    </row>
    <row r="8091" spans="1:4" x14ac:dyDescent="0.25">
      <c r="A8091" s="7" t="s">
        <v>11077</v>
      </c>
      <c r="B8091" s="8" t="s">
        <v>11078</v>
      </c>
      <c r="C8091" s="8" t="s">
        <v>6707</v>
      </c>
      <c r="D8091" s="8" t="str">
        <f>"9780472901548"</f>
        <v>9780472901548</v>
      </c>
    </row>
    <row r="8092" spans="1:4" x14ac:dyDescent="0.25">
      <c r="A8092" s="7" t="s">
        <v>2330</v>
      </c>
      <c r="B8092" s="8" t="s">
        <v>2331</v>
      </c>
      <c r="C8092" s="8" t="s">
        <v>1879</v>
      </c>
      <c r="D8092" s="8" t="str">
        <f>"9781783741908"</f>
        <v>9781783741908</v>
      </c>
    </row>
    <row r="8093" spans="1:4" ht="30" x14ac:dyDescent="0.25">
      <c r="A8093" s="7" t="s">
        <v>7860</v>
      </c>
      <c r="B8093" s="8" t="s">
        <v>7861</v>
      </c>
      <c r="C8093" s="8" t="s">
        <v>5086</v>
      </c>
      <c r="D8093" s="8" t="str">
        <f>"9783658351458"</f>
        <v>9783658351458</v>
      </c>
    </row>
    <row r="8094" spans="1:4" ht="30" x14ac:dyDescent="0.25">
      <c r="A8094" s="7" t="s">
        <v>9398</v>
      </c>
      <c r="B8094" s="8" t="s">
        <v>9399</v>
      </c>
      <c r="C8094" s="8" t="s">
        <v>9256</v>
      </c>
      <c r="D8094" s="8" t="str">
        <f>"9788021097612"</f>
        <v>9788021097612</v>
      </c>
    </row>
    <row r="8095" spans="1:4" x14ac:dyDescent="0.25">
      <c r="A8095" s="7" t="s">
        <v>1989</v>
      </c>
      <c r="B8095" s="8" t="s">
        <v>1990</v>
      </c>
      <c r="C8095" s="8" t="s">
        <v>1962</v>
      </c>
      <c r="D8095" s="8" t="str">
        <f>"9782759206896"</f>
        <v>9782759206896</v>
      </c>
    </row>
    <row r="8096" spans="1:4" x14ac:dyDescent="0.25">
      <c r="A8096" s="7" t="s">
        <v>2031</v>
      </c>
      <c r="B8096" s="8" t="s">
        <v>2032</v>
      </c>
      <c r="C8096" s="8" t="s">
        <v>1962</v>
      </c>
      <c r="D8096" s="8" t="str">
        <f>"9782759206957"</f>
        <v>9782759206957</v>
      </c>
    </row>
    <row r="8097" spans="1:4" ht="45" x14ac:dyDescent="0.25">
      <c r="A8097" s="7" t="s">
        <v>13076</v>
      </c>
      <c r="B8097" s="8" t="s">
        <v>13072</v>
      </c>
      <c r="C8097" s="8" t="s">
        <v>12712</v>
      </c>
      <c r="D8097" s="8" t="str">
        <f>"9783428572526"</f>
        <v>9783428572526</v>
      </c>
    </row>
    <row r="8098" spans="1:4" ht="30" x14ac:dyDescent="0.25">
      <c r="A8098" s="7" t="s">
        <v>13078</v>
      </c>
      <c r="B8098" s="8" t="s">
        <v>13072</v>
      </c>
      <c r="C8098" s="8" t="s">
        <v>12712</v>
      </c>
      <c r="D8098" s="8" t="str">
        <f>"9783428572540"</f>
        <v>9783428572540</v>
      </c>
    </row>
    <row r="8099" spans="1:4" ht="30" x14ac:dyDescent="0.25">
      <c r="A8099" s="7" t="s">
        <v>13077</v>
      </c>
      <c r="B8099" s="8" t="s">
        <v>13072</v>
      </c>
      <c r="C8099" s="8" t="s">
        <v>12712</v>
      </c>
      <c r="D8099" s="8" t="str">
        <f>"9783428572533"</f>
        <v>9783428572533</v>
      </c>
    </row>
    <row r="8100" spans="1:4" ht="45" x14ac:dyDescent="0.25">
      <c r="A8100" s="7" t="s">
        <v>13073</v>
      </c>
      <c r="B8100" s="8" t="s">
        <v>13072</v>
      </c>
      <c r="C8100" s="8" t="s">
        <v>12712</v>
      </c>
      <c r="D8100" s="8" t="str">
        <f>"9783428572496"</f>
        <v>9783428572496</v>
      </c>
    </row>
    <row r="8101" spans="1:4" x14ac:dyDescent="0.25">
      <c r="A8101" s="7" t="s">
        <v>6785</v>
      </c>
      <c r="B8101" s="8" t="s">
        <v>6786</v>
      </c>
      <c r="C8101" s="8" t="s">
        <v>2273</v>
      </c>
      <c r="D8101" s="8" t="str">
        <f>"9783030697280"</f>
        <v>9783030697280</v>
      </c>
    </row>
    <row r="8102" spans="1:4" x14ac:dyDescent="0.25">
      <c r="A8102" s="7" t="s">
        <v>5807</v>
      </c>
      <c r="B8102" s="8" t="s">
        <v>5808</v>
      </c>
      <c r="C8102" s="8" t="s">
        <v>2273</v>
      </c>
      <c r="D8102" s="8" t="str">
        <f>"9783319417769"</f>
        <v>9783319417769</v>
      </c>
    </row>
    <row r="8103" spans="1:4" x14ac:dyDescent="0.25">
      <c r="A8103" s="7" t="s">
        <v>8922</v>
      </c>
      <c r="B8103" s="8" t="s">
        <v>8923</v>
      </c>
      <c r="C8103" s="8" t="s">
        <v>1865</v>
      </c>
      <c r="D8103" s="8" t="str">
        <f>"9789179291723"</f>
        <v>9789179291723</v>
      </c>
    </row>
    <row r="8104" spans="1:4" ht="30" x14ac:dyDescent="0.25">
      <c r="A8104" s="7" t="s">
        <v>1384</v>
      </c>
      <c r="B8104" s="8" t="s">
        <v>1385</v>
      </c>
      <c r="C8104" s="8" t="s">
        <v>1345</v>
      </c>
      <c r="D8104" s="8" t="str">
        <f>""</f>
        <v/>
      </c>
    </row>
    <row r="8105" spans="1:4" ht="45" x14ac:dyDescent="0.25">
      <c r="A8105" s="7" t="s">
        <v>2608</v>
      </c>
      <c r="B8105" s="8" t="s">
        <v>1385</v>
      </c>
      <c r="C8105" s="8" t="s">
        <v>1345</v>
      </c>
      <c r="D8105" s="8" t="str">
        <f>"9783737600958"</f>
        <v>9783737600958</v>
      </c>
    </row>
    <row r="8106" spans="1:4" ht="30" x14ac:dyDescent="0.25">
      <c r="A8106" s="7" t="s">
        <v>1379</v>
      </c>
      <c r="B8106" s="8" t="s">
        <v>36</v>
      </c>
      <c r="C8106" s="8" t="s">
        <v>1345</v>
      </c>
      <c r="D8106" s="8" t="str">
        <f>""</f>
        <v/>
      </c>
    </row>
    <row r="8107" spans="1:4" x14ac:dyDescent="0.25">
      <c r="A8107" s="7" t="s">
        <v>15666</v>
      </c>
      <c r="B8107" s="8" t="s">
        <v>15601</v>
      </c>
      <c r="C8107" s="8" t="s">
        <v>1865</v>
      </c>
      <c r="D8107" s="8" t="str">
        <f>"9789175192642"</f>
        <v>9789175192642</v>
      </c>
    </row>
    <row r="8108" spans="1:4" ht="45" x14ac:dyDescent="0.25">
      <c r="A8108" s="7" t="s">
        <v>1533</v>
      </c>
      <c r="B8108" s="8" t="s">
        <v>1534</v>
      </c>
      <c r="C8108" s="8" t="s">
        <v>1345</v>
      </c>
      <c r="D8108" s="8" t="str">
        <f>"9783862196296"</f>
        <v>9783862196296</v>
      </c>
    </row>
    <row r="8109" spans="1:4" ht="30" x14ac:dyDescent="0.25">
      <c r="A8109" s="7" t="s">
        <v>1725</v>
      </c>
      <c r="B8109" s="8" t="s">
        <v>1726</v>
      </c>
      <c r="C8109" s="8" t="s">
        <v>1345</v>
      </c>
      <c r="D8109" s="8" t="str">
        <f>"9783862196173"</f>
        <v>9783862196173</v>
      </c>
    </row>
    <row r="8110" spans="1:4" x14ac:dyDescent="0.25">
      <c r="A8110" s="7" t="s">
        <v>9395</v>
      </c>
      <c r="B8110" s="8" t="s">
        <v>128</v>
      </c>
      <c r="C8110" s="8" t="s">
        <v>9256</v>
      </c>
      <c r="D8110" s="8" t="str">
        <f>"9788021097469"</f>
        <v>9788021097469</v>
      </c>
    </row>
    <row r="8111" spans="1:4" x14ac:dyDescent="0.25">
      <c r="A8111" s="7" t="s">
        <v>13705</v>
      </c>
      <c r="B8111" s="8" t="s">
        <v>13706</v>
      </c>
      <c r="C8111" s="8" t="s">
        <v>993</v>
      </c>
      <c r="D8111" s="8" t="str">
        <f>"9783839463000"</f>
        <v>9783839463000</v>
      </c>
    </row>
    <row r="8112" spans="1:4" ht="30" x14ac:dyDescent="0.25">
      <c r="A8112" s="7" t="s">
        <v>10542</v>
      </c>
      <c r="B8112" s="8" t="s">
        <v>10543</v>
      </c>
      <c r="C8112" s="8" t="s">
        <v>993</v>
      </c>
      <c r="D8112" s="8" t="str">
        <f>"9783839459485"</f>
        <v>9783839459485</v>
      </c>
    </row>
    <row r="8113" spans="1:4" ht="45" x14ac:dyDescent="0.25">
      <c r="A8113" s="7" t="s">
        <v>8115</v>
      </c>
      <c r="B8113" s="8" t="s">
        <v>8116</v>
      </c>
      <c r="C8113" s="8" t="s">
        <v>5942</v>
      </c>
      <c r="D8113" s="8" t="str">
        <f>"9783662632048"</f>
        <v>9783662632048</v>
      </c>
    </row>
    <row r="8114" spans="1:4" x14ac:dyDescent="0.25">
      <c r="A8114" s="7" t="s">
        <v>10084</v>
      </c>
      <c r="B8114" s="8" t="s">
        <v>10085</v>
      </c>
      <c r="C8114" s="8" t="s">
        <v>993</v>
      </c>
      <c r="D8114" s="8" t="str">
        <f>"9783839432327"</f>
        <v>9783839432327</v>
      </c>
    </row>
    <row r="8115" spans="1:4" ht="30" x14ac:dyDescent="0.25">
      <c r="A8115" s="7" t="s">
        <v>10271</v>
      </c>
      <c r="B8115" s="8" t="s">
        <v>10272</v>
      </c>
      <c r="C8115" s="8" t="s">
        <v>993</v>
      </c>
      <c r="D8115" s="8" t="str">
        <f>"9783839446928"</f>
        <v>9783839446928</v>
      </c>
    </row>
    <row r="8116" spans="1:4" ht="30" x14ac:dyDescent="0.25">
      <c r="A8116" s="7" t="s">
        <v>339</v>
      </c>
      <c r="B8116" s="8" t="s">
        <v>340</v>
      </c>
      <c r="C8116" s="8" t="s">
        <v>316</v>
      </c>
      <c r="D8116" s="8" t="str">
        <f>"9783110216615"</f>
        <v>9783110216615</v>
      </c>
    </row>
    <row r="8117" spans="1:4" ht="30" x14ac:dyDescent="0.25">
      <c r="A8117" s="7" t="s">
        <v>785</v>
      </c>
      <c r="B8117" s="8" t="s">
        <v>786</v>
      </c>
      <c r="C8117" s="8" t="s">
        <v>355</v>
      </c>
      <c r="D8117" s="8" t="str">
        <f>"9783486989274"</f>
        <v>9783486989274</v>
      </c>
    </row>
    <row r="8118" spans="1:4" ht="30" x14ac:dyDescent="0.25">
      <c r="A8118" s="7" t="s">
        <v>14010</v>
      </c>
      <c r="B8118" s="8" t="s">
        <v>14011</v>
      </c>
      <c r="C8118" s="8" t="s">
        <v>13997</v>
      </c>
      <c r="D8118" s="8" t="str">
        <f>"9789566095170"</f>
        <v>9789566095170</v>
      </c>
    </row>
    <row r="8119" spans="1:4" x14ac:dyDescent="0.25">
      <c r="A8119" s="7" t="s">
        <v>3932</v>
      </c>
      <c r="B8119" s="8" t="s">
        <v>3933</v>
      </c>
      <c r="C8119" s="8" t="s">
        <v>355</v>
      </c>
      <c r="D8119" s="8" t="str">
        <f>"9783110518269"</f>
        <v>9783110518269</v>
      </c>
    </row>
    <row r="8120" spans="1:4" x14ac:dyDescent="0.25">
      <c r="A8120" s="7" t="s">
        <v>10189</v>
      </c>
      <c r="B8120" s="8" t="s">
        <v>10190</v>
      </c>
      <c r="C8120" s="8" t="s">
        <v>993</v>
      </c>
      <c r="D8120" s="8" t="str">
        <f>"9783839443323"</f>
        <v>9783839443323</v>
      </c>
    </row>
    <row r="8121" spans="1:4" x14ac:dyDescent="0.25">
      <c r="A8121" s="7" t="s">
        <v>1437</v>
      </c>
      <c r="B8121" s="8" t="s">
        <v>1438</v>
      </c>
      <c r="C8121" s="8" t="s">
        <v>1345</v>
      </c>
      <c r="D8121" s="8" t="str">
        <f>"9783899589191"</f>
        <v>9783899589191</v>
      </c>
    </row>
    <row r="8122" spans="1:4" ht="30" x14ac:dyDescent="0.25">
      <c r="A8122" s="7" t="s">
        <v>8126</v>
      </c>
      <c r="B8122" s="8" t="s">
        <v>8127</v>
      </c>
      <c r="C8122" s="8" t="s">
        <v>993</v>
      </c>
      <c r="D8122" s="8" t="str">
        <f>"9783839443842"</f>
        <v>9783839443842</v>
      </c>
    </row>
    <row r="8123" spans="1:4" x14ac:dyDescent="0.25">
      <c r="A8123" s="7" t="s">
        <v>9751</v>
      </c>
      <c r="B8123" s="8" t="s">
        <v>9741</v>
      </c>
      <c r="C8123" s="8" t="s">
        <v>993</v>
      </c>
      <c r="D8123" s="8" t="str">
        <f>"9783839403518"</f>
        <v>9783839403518</v>
      </c>
    </row>
    <row r="8124" spans="1:4" x14ac:dyDescent="0.25">
      <c r="A8124" s="7" t="s">
        <v>11589</v>
      </c>
      <c r="B8124" s="8" t="s">
        <v>11590</v>
      </c>
      <c r="C8124" s="8" t="s">
        <v>355</v>
      </c>
      <c r="D8124" s="8" t="str">
        <f>"9783110736199"</f>
        <v>9783110736199</v>
      </c>
    </row>
    <row r="8125" spans="1:4" x14ac:dyDescent="0.25">
      <c r="A8125" s="7" t="s">
        <v>14653</v>
      </c>
      <c r="B8125" s="8" t="s">
        <v>14654</v>
      </c>
      <c r="C8125" s="8" t="s">
        <v>1865</v>
      </c>
      <c r="D8125" s="8" t="str">
        <f>"9789179296803"</f>
        <v>9789179296803</v>
      </c>
    </row>
    <row r="8126" spans="1:4" x14ac:dyDescent="0.25">
      <c r="A8126" s="7" t="s">
        <v>8843</v>
      </c>
      <c r="B8126" s="8" t="s">
        <v>8844</v>
      </c>
      <c r="C8126" s="8" t="s">
        <v>2273</v>
      </c>
      <c r="D8126" s="8" t="str">
        <f>"9783030836405"</f>
        <v>9783030836405</v>
      </c>
    </row>
    <row r="8127" spans="1:4" ht="30" x14ac:dyDescent="0.25">
      <c r="A8127" s="7" t="s">
        <v>6951</v>
      </c>
      <c r="B8127" s="8" t="s">
        <v>6952</v>
      </c>
      <c r="C8127" s="8" t="s">
        <v>2273</v>
      </c>
      <c r="D8127" s="8" t="str">
        <f>"9783030772567"</f>
        <v>9783030772567</v>
      </c>
    </row>
    <row r="8128" spans="1:4" x14ac:dyDescent="0.25">
      <c r="A8128" s="7" t="s">
        <v>3646</v>
      </c>
      <c r="B8128" s="8" t="s">
        <v>3647</v>
      </c>
      <c r="C8128" s="8" t="s">
        <v>1865</v>
      </c>
      <c r="D8128" s="8" t="str">
        <f>"9789176853399"</f>
        <v>9789176853399</v>
      </c>
    </row>
    <row r="8129" spans="1:4" x14ac:dyDescent="0.25">
      <c r="A8129" s="7" t="s">
        <v>6961</v>
      </c>
      <c r="B8129" s="8" t="s">
        <v>6962</v>
      </c>
      <c r="C8129" s="8" t="s">
        <v>1865</v>
      </c>
      <c r="D8129" s="8" t="str">
        <f>"9789179297015"</f>
        <v>9789179297015</v>
      </c>
    </row>
    <row r="8130" spans="1:4" x14ac:dyDescent="0.25">
      <c r="A8130" s="7" t="s">
        <v>6518</v>
      </c>
      <c r="B8130" s="8" t="s">
        <v>6519</v>
      </c>
      <c r="C8130" s="8" t="s">
        <v>1865</v>
      </c>
      <c r="D8130" s="8" t="str">
        <f>"9789179296940"</f>
        <v>9789179296940</v>
      </c>
    </row>
    <row r="8131" spans="1:4" x14ac:dyDescent="0.25">
      <c r="A8131" s="7" t="s">
        <v>333</v>
      </c>
      <c r="B8131" s="8" t="s">
        <v>334</v>
      </c>
      <c r="C8131" s="8" t="s">
        <v>309</v>
      </c>
      <c r="D8131" s="8" t="str">
        <f>"9781439900567"</f>
        <v>9781439900567</v>
      </c>
    </row>
    <row r="8132" spans="1:4" x14ac:dyDescent="0.25">
      <c r="A8132" s="7" t="s">
        <v>15254</v>
      </c>
      <c r="B8132" s="8" t="s">
        <v>15255</v>
      </c>
      <c r="C8132" s="8" t="s">
        <v>1865</v>
      </c>
      <c r="D8132" s="8" t="str">
        <f>"9789176858851"</f>
        <v>9789176858851</v>
      </c>
    </row>
    <row r="8133" spans="1:4" x14ac:dyDescent="0.25">
      <c r="A8133" s="7" t="s">
        <v>10823</v>
      </c>
      <c r="B8133" s="8" t="s">
        <v>10824</v>
      </c>
      <c r="C8133" s="8" t="s">
        <v>1342</v>
      </c>
      <c r="D8133" s="8" t="str">
        <f>"9789633864562"</f>
        <v>9789633864562</v>
      </c>
    </row>
    <row r="8134" spans="1:4" ht="30" x14ac:dyDescent="0.25">
      <c r="A8134" s="7" t="s">
        <v>2670</v>
      </c>
      <c r="B8134" s="8" t="s">
        <v>2671</v>
      </c>
      <c r="C8134" s="8" t="s">
        <v>1224</v>
      </c>
      <c r="D8134" s="8" t="str">
        <f>"9781618115232"</f>
        <v>9781618115232</v>
      </c>
    </row>
    <row r="8135" spans="1:4" x14ac:dyDescent="0.25">
      <c r="A8135" s="7" t="s">
        <v>15282</v>
      </c>
      <c r="B8135" s="8" t="s">
        <v>15283</v>
      </c>
      <c r="C8135" s="8" t="s">
        <v>1865</v>
      </c>
      <c r="D8135" s="8" t="str">
        <f>"9789175195216"</f>
        <v>9789175195216</v>
      </c>
    </row>
    <row r="8136" spans="1:4" ht="30" x14ac:dyDescent="0.25">
      <c r="A8136" s="7" t="s">
        <v>14462</v>
      </c>
      <c r="B8136" s="8" t="s">
        <v>14463</v>
      </c>
      <c r="C8136" s="8" t="s">
        <v>1865</v>
      </c>
      <c r="D8136" s="8" t="str">
        <f>"9789179298517"</f>
        <v>9789179298517</v>
      </c>
    </row>
    <row r="8137" spans="1:4" x14ac:dyDescent="0.25">
      <c r="A8137" s="7" t="s">
        <v>264</v>
      </c>
      <c r="B8137" s="8" t="s">
        <v>265</v>
      </c>
      <c r="C8137" s="8" t="s">
        <v>227</v>
      </c>
      <c r="D8137" s="8" t="str">
        <f>"9781847790378"</f>
        <v>9781847790378</v>
      </c>
    </row>
    <row r="8138" spans="1:4" x14ac:dyDescent="0.25">
      <c r="A8138" s="7" t="s">
        <v>8708</v>
      </c>
      <c r="B8138" s="8" t="s">
        <v>8709</v>
      </c>
      <c r="C8138" s="8" t="s">
        <v>4245</v>
      </c>
      <c r="D8138" s="8" t="str">
        <f>"9789811662539"</f>
        <v>9789811662539</v>
      </c>
    </row>
    <row r="8139" spans="1:4" ht="30" x14ac:dyDescent="0.25">
      <c r="A8139" s="7" t="s">
        <v>13641</v>
      </c>
      <c r="B8139" s="8" t="s">
        <v>8050</v>
      </c>
      <c r="C8139" s="8" t="s">
        <v>2785</v>
      </c>
      <c r="D8139" s="8" t="str">
        <f>"9789811938467"</f>
        <v>9789811938467</v>
      </c>
    </row>
    <row r="8140" spans="1:4" ht="30" x14ac:dyDescent="0.25">
      <c r="A8140" s="7" t="s">
        <v>15065</v>
      </c>
      <c r="B8140" s="8" t="s">
        <v>15066</v>
      </c>
      <c r="C8140" s="8" t="s">
        <v>1865</v>
      </c>
      <c r="D8140" s="8" t="str">
        <f>"9789175196336"</f>
        <v>9789175196336</v>
      </c>
    </row>
    <row r="8141" spans="1:4" x14ac:dyDescent="0.25">
      <c r="A8141" s="7" t="s">
        <v>3402</v>
      </c>
      <c r="B8141" s="8" t="s">
        <v>3403</v>
      </c>
      <c r="C8141" s="8" t="s">
        <v>2073</v>
      </c>
      <c r="D8141" s="8" t="str">
        <f>"9781438466897"</f>
        <v>9781438466897</v>
      </c>
    </row>
    <row r="8142" spans="1:4" x14ac:dyDescent="0.25">
      <c r="A8142" s="7" t="s">
        <v>12249</v>
      </c>
      <c r="B8142" s="8" t="s">
        <v>12250</v>
      </c>
      <c r="C8142" s="8" t="s">
        <v>1036</v>
      </c>
      <c r="D8142" s="8" t="str">
        <f>"9789027257697"</f>
        <v>9789027257697</v>
      </c>
    </row>
    <row r="8143" spans="1:4" x14ac:dyDescent="0.25">
      <c r="A8143" s="7" t="s">
        <v>2917</v>
      </c>
      <c r="B8143" s="8" t="s">
        <v>2918</v>
      </c>
      <c r="C8143" s="8" t="s">
        <v>316</v>
      </c>
      <c r="D8143" s="8" t="str">
        <f>"9783110417845"</f>
        <v>9783110417845</v>
      </c>
    </row>
    <row r="8144" spans="1:4" x14ac:dyDescent="0.25">
      <c r="A8144" s="7" t="s">
        <v>363</v>
      </c>
      <c r="B8144" s="8" t="s">
        <v>364</v>
      </c>
      <c r="C8144" s="8" t="s">
        <v>227</v>
      </c>
      <c r="D8144" s="8" t="str">
        <f>"9781847790651"</f>
        <v>9781847790651</v>
      </c>
    </row>
    <row r="8145" spans="1:4" ht="30" x14ac:dyDescent="0.25">
      <c r="A8145" s="7" t="s">
        <v>5994</v>
      </c>
      <c r="B8145" s="8" t="s">
        <v>5995</v>
      </c>
      <c r="C8145" s="8" t="s">
        <v>5214</v>
      </c>
      <c r="D8145" s="8" t="str">
        <f>"9789401789592"</f>
        <v>9789401789592</v>
      </c>
    </row>
    <row r="8146" spans="1:4" x14ac:dyDescent="0.25">
      <c r="A8146" s="7" t="s">
        <v>16247</v>
      </c>
      <c r="B8146" s="8" t="s">
        <v>15536</v>
      </c>
      <c r="C8146" s="8" t="s">
        <v>1865</v>
      </c>
      <c r="D8146" s="8" t="str">
        <f>"9789176857526"</f>
        <v>9789176857526</v>
      </c>
    </row>
    <row r="8147" spans="1:4" x14ac:dyDescent="0.25">
      <c r="A8147" s="7" t="s">
        <v>6029</v>
      </c>
      <c r="B8147" s="8" t="s">
        <v>6030</v>
      </c>
      <c r="C8147" s="8" t="s">
        <v>2273</v>
      </c>
      <c r="D8147" s="8" t="str">
        <f>"9783319579665"</f>
        <v>9783319579665</v>
      </c>
    </row>
    <row r="8148" spans="1:4" x14ac:dyDescent="0.25">
      <c r="A8148" s="7" t="s">
        <v>6881</v>
      </c>
      <c r="B8148" s="8" t="s">
        <v>5533</v>
      </c>
      <c r="C8148" s="8" t="s">
        <v>2273</v>
      </c>
      <c r="D8148" s="8" t="str">
        <f>"9783030706920"</f>
        <v>9783030706920</v>
      </c>
    </row>
    <row r="8149" spans="1:4" x14ac:dyDescent="0.25">
      <c r="A8149" s="7" t="s">
        <v>10388</v>
      </c>
      <c r="B8149" s="8" t="s">
        <v>10389</v>
      </c>
      <c r="C8149" s="8" t="s">
        <v>993</v>
      </c>
      <c r="D8149" s="8" t="str">
        <f>"9783839454312"</f>
        <v>9783839454312</v>
      </c>
    </row>
    <row r="8150" spans="1:4" ht="30" x14ac:dyDescent="0.25">
      <c r="A8150" s="7" t="s">
        <v>14173</v>
      </c>
      <c r="B8150" s="8" t="s">
        <v>14174</v>
      </c>
      <c r="C8150" s="8" t="s">
        <v>9256</v>
      </c>
      <c r="D8150" s="8" t="str">
        <f>"9788021086432"</f>
        <v>9788021086432</v>
      </c>
    </row>
    <row r="8151" spans="1:4" x14ac:dyDescent="0.25">
      <c r="A8151" s="7" t="s">
        <v>8599</v>
      </c>
      <c r="B8151" s="8" t="s">
        <v>8600</v>
      </c>
      <c r="C8151" s="8" t="s">
        <v>2273</v>
      </c>
      <c r="D8151" s="8" t="str">
        <f>"9783030729370"</f>
        <v>9783030729370</v>
      </c>
    </row>
    <row r="8152" spans="1:4" x14ac:dyDescent="0.25">
      <c r="A8152" s="7" t="s">
        <v>15674</v>
      </c>
      <c r="B8152" s="8" t="s">
        <v>15675</v>
      </c>
      <c r="C8152" s="8" t="s">
        <v>1865</v>
      </c>
      <c r="D8152" s="8" t="str">
        <f>"9789175192857"</f>
        <v>9789175192857</v>
      </c>
    </row>
    <row r="8153" spans="1:4" ht="30" x14ac:dyDescent="0.25">
      <c r="A8153" s="7" t="s">
        <v>15259</v>
      </c>
      <c r="B8153" s="8" t="s">
        <v>15260</v>
      </c>
      <c r="C8153" s="8" t="s">
        <v>1865</v>
      </c>
      <c r="D8153" s="8" t="str">
        <f>"9789175191355"</f>
        <v>9789175191355</v>
      </c>
    </row>
    <row r="8154" spans="1:4" x14ac:dyDescent="0.25">
      <c r="A8154" s="7" t="s">
        <v>3942</v>
      </c>
      <c r="B8154" s="8" t="s">
        <v>3943</v>
      </c>
      <c r="C8154" s="8" t="s">
        <v>1879</v>
      </c>
      <c r="D8154" s="8" t="str">
        <f>"9781783744800"</f>
        <v>9781783744800</v>
      </c>
    </row>
    <row r="8155" spans="1:4" x14ac:dyDescent="0.25">
      <c r="A8155" s="7" t="s">
        <v>6795</v>
      </c>
      <c r="B8155" s="8" t="s">
        <v>6796</v>
      </c>
      <c r="C8155" s="8" t="s">
        <v>2273</v>
      </c>
      <c r="D8155" s="8" t="str">
        <f>"9783030684143"</f>
        <v>9783030684143</v>
      </c>
    </row>
    <row r="8156" spans="1:4" x14ac:dyDescent="0.25">
      <c r="A8156" s="7" t="s">
        <v>4369</v>
      </c>
      <c r="B8156" s="8" t="s">
        <v>4370</v>
      </c>
      <c r="C8156" s="8" t="s">
        <v>1962</v>
      </c>
      <c r="D8156" s="8" t="str">
        <f>"9782759229390"</f>
        <v>9782759229390</v>
      </c>
    </row>
    <row r="8157" spans="1:4" x14ac:dyDescent="0.25">
      <c r="A8157" s="7" t="s">
        <v>11524</v>
      </c>
      <c r="B8157" s="8" t="s">
        <v>11525</v>
      </c>
      <c r="C8157" s="8" t="s">
        <v>355</v>
      </c>
      <c r="D8157" s="8" t="str">
        <f>"9783110732740"</f>
        <v>9783110732740</v>
      </c>
    </row>
    <row r="8158" spans="1:4" x14ac:dyDescent="0.25">
      <c r="A8158" s="7" t="s">
        <v>8726</v>
      </c>
      <c r="B8158" s="8" t="s">
        <v>51</v>
      </c>
      <c r="C8158" s="8" t="s">
        <v>1962</v>
      </c>
      <c r="D8158" s="8" t="str">
        <f>"9782759233533"</f>
        <v>9782759233533</v>
      </c>
    </row>
    <row r="8159" spans="1:4" x14ac:dyDescent="0.25">
      <c r="A8159" s="7" t="s">
        <v>1964</v>
      </c>
      <c r="B8159" s="8" t="s">
        <v>1965</v>
      </c>
      <c r="C8159" s="8" t="s">
        <v>1962</v>
      </c>
      <c r="D8159" s="8" t="str">
        <f>"9782759210312"</f>
        <v>9782759210312</v>
      </c>
    </row>
    <row r="8160" spans="1:4" x14ac:dyDescent="0.25">
      <c r="A8160" s="7" t="s">
        <v>3177</v>
      </c>
      <c r="B8160" s="8" t="s">
        <v>3178</v>
      </c>
      <c r="C8160" s="8" t="s">
        <v>1962</v>
      </c>
      <c r="D8160" s="8" t="str">
        <f>"9782759227198"</f>
        <v>9782759227198</v>
      </c>
    </row>
    <row r="8161" spans="1:4" x14ac:dyDescent="0.25">
      <c r="A8161" s="7" t="s">
        <v>7989</v>
      </c>
      <c r="B8161" s="8" t="s">
        <v>7990</v>
      </c>
      <c r="C8161" s="8" t="s">
        <v>1962</v>
      </c>
      <c r="D8161" s="8" t="str">
        <f>"9782759225781"</f>
        <v>9782759225781</v>
      </c>
    </row>
    <row r="8162" spans="1:4" x14ac:dyDescent="0.25">
      <c r="A8162" s="7" t="s">
        <v>636</v>
      </c>
      <c r="B8162" s="8" t="s">
        <v>637</v>
      </c>
      <c r="C8162" s="8" t="s">
        <v>562</v>
      </c>
      <c r="D8162" s="8" t="str">
        <f>"9780822394792"</f>
        <v>9780822394792</v>
      </c>
    </row>
    <row r="8163" spans="1:4" ht="30" x14ac:dyDescent="0.25">
      <c r="A8163" s="7" t="s">
        <v>15817</v>
      </c>
      <c r="B8163" s="8" t="s">
        <v>15818</v>
      </c>
      <c r="C8163" s="8" t="s">
        <v>1865</v>
      </c>
      <c r="D8163" s="8" t="str">
        <f>"9789179295226"</f>
        <v>9789179295226</v>
      </c>
    </row>
    <row r="8164" spans="1:4" x14ac:dyDescent="0.25">
      <c r="A8164" s="7" t="s">
        <v>610</v>
      </c>
      <c r="B8164" s="8" t="s">
        <v>611</v>
      </c>
      <c r="C8164" s="8" t="s">
        <v>562</v>
      </c>
      <c r="D8164" s="8" t="str">
        <f>"9780822392170"</f>
        <v>9780822392170</v>
      </c>
    </row>
    <row r="8165" spans="1:4" ht="30" x14ac:dyDescent="0.25">
      <c r="A8165" s="7" t="s">
        <v>9775</v>
      </c>
      <c r="B8165" s="8" t="s">
        <v>9776</v>
      </c>
      <c r="C8165" s="8" t="s">
        <v>993</v>
      </c>
      <c r="D8165" s="8" t="str">
        <f>"9783839404379"</f>
        <v>9783839404379</v>
      </c>
    </row>
    <row r="8166" spans="1:4" ht="45" x14ac:dyDescent="0.25">
      <c r="A8166" s="7" t="s">
        <v>1086</v>
      </c>
      <c r="B8166" s="8" t="s">
        <v>29</v>
      </c>
      <c r="C8166" s="8" t="s">
        <v>316</v>
      </c>
      <c r="D8166" s="8" t="str">
        <f>"9783110900750"</f>
        <v>9783110900750</v>
      </c>
    </row>
    <row r="8167" spans="1:4" x14ac:dyDescent="0.25">
      <c r="A8167" s="7" t="s">
        <v>9932</v>
      </c>
      <c r="B8167" s="8" t="s">
        <v>9933</v>
      </c>
      <c r="C8167" s="8" t="s">
        <v>993</v>
      </c>
      <c r="D8167" s="8" t="str">
        <f>"9783839408339"</f>
        <v>9783839408339</v>
      </c>
    </row>
    <row r="8168" spans="1:4" ht="30" x14ac:dyDescent="0.25">
      <c r="A8168" s="7" t="s">
        <v>9055</v>
      </c>
      <c r="B8168" s="8" t="s">
        <v>9056</v>
      </c>
      <c r="C8168" s="8" t="s">
        <v>562</v>
      </c>
      <c r="D8168" s="8" t="str">
        <f>"9781478091684"</f>
        <v>9781478091684</v>
      </c>
    </row>
    <row r="8169" spans="1:4" x14ac:dyDescent="0.25">
      <c r="A8169" s="7" t="s">
        <v>13617</v>
      </c>
      <c r="B8169" s="8" t="s">
        <v>13618</v>
      </c>
      <c r="C8169" s="8" t="s">
        <v>355</v>
      </c>
      <c r="D8169" s="8" t="str">
        <f>"9783035621006"</f>
        <v>9783035621006</v>
      </c>
    </row>
    <row r="8170" spans="1:4" x14ac:dyDescent="0.25">
      <c r="A8170" s="7" t="s">
        <v>707</v>
      </c>
      <c r="B8170" s="8" t="s">
        <v>708</v>
      </c>
      <c r="C8170" s="8" t="s">
        <v>316</v>
      </c>
      <c r="D8170" s="8" t="str">
        <f>"9783110326109"</f>
        <v>9783110326109</v>
      </c>
    </row>
    <row r="8171" spans="1:4" ht="30" x14ac:dyDescent="0.25">
      <c r="A8171" s="7" t="s">
        <v>8095</v>
      </c>
      <c r="B8171" s="8" t="s">
        <v>5495</v>
      </c>
      <c r="C8171" s="8" t="s">
        <v>2273</v>
      </c>
      <c r="D8171" s="8" t="str">
        <f>"9783030821593"</f>
        <v>9783030821593</v>
      </c>
    </row>
    <row r="8172" spans="1:4" x14ac:dyDescent="0.25">
      <c r="A8172" s="7" t="s">
        <v>9333</v>
      </c>
      <c r="B8172" s="8" t="s">
        <v>9330</v>
      </c>
      <c r="C8172" s="8" t="s">
        <v>9256</v>
      </c>
      <c r="D8172" s="8" t="str">
        <f>"9788021095632"</f>
        <v>9788021095632</v>
      </c>
    </row>
    <row r="8173" spans="1:4" x14ac:dyDescent="0.25">
      <c r="A8173" s="7" t="s">
        <v>10436</v>
      </c>
      <c r="B8173" s="8" t="s">
        <v>10437</v>
      </c>
      <c r="C8173" s="8" t="s">
        <v>993</v>
      </c>
      <c r="D8173" s="8" t="str">
        <f>"9783839456743"</f>
        <v>9783839456743</v>
      </c>
    </row>
    <row r="8174" spans="1:4" ht="45" x14ac:dyDescent="0.25">
      <c r="A8174" s="7" t="s">
        <v>2759</v>
      </c>
      <c r="B8174" s="8" t="s">
        <v>2760</v>
      </c>
      <c r="C8174" s="8" t="s">
        <v>1865</v>
      </c>
      <c r="D8174" s="8" t="str">
        <f>"9789176856772"</f>
        <v>9789176856772</v>
      </c>
    </row>
    <row r="8175" spans="1:4" x14ac:dyDescent="0.25">
      <c r="A8175" s="7" t="s">
        <v>12590</v>
      </c>
      <c r="B8175" s="8" t="s">
        <v>12591</v>
      </c>
      <c r="C8175" s="8" t="s">
        <v>355</v>
      </c>
      <c r="D8175" s="8" t="str">
        <f>"9783110780574"</f>
        <v>9783110780574</v>
      </c>
    </row>
    <row r="8176" spans="1:4" ht="30" x14ac:dyDescent="0.25">
      <c r="A8176" s="7" t="s">
        <v>5557</v>
      </c>
      <c r="B8176" s="8" t="s">
        <v>122</v>
      </c>
      <c r="C8176" s="8" t="s">
        <v>2273</v>
      </c>
      <c r="D8176" s="8" t="str">
        <f>"9783030612993"</f>
        <v>9783030612993</v>
      </c>
    </row>
    <row r="8177" spans="1:4" ht="75" x14ac:dyDescent="0.25">
      <c r="A8177" s="7" t="s">
        <v>1145</v>
      </c>
      <c r="B8177" s="8" t="s">
        <v>27</v>
      </c>
      <c r="C8177" s="8" t="s">
        <v>316</v>
      </c>
      <c r="D8177" s="8" t="str">
        <f>"9783110890099"</f>
        <v>9783110890099</v>
      </c>
    </row>
    <row r="8178" spans="1:4" x14ac:dyDescent="0.25">
      <c r="A8178" s="7" t="s">
        <v>1044</v>
      </c>
      <c r="B8178" s="8" t="s">
        <v>1045</v>
      </c>
      <c r="C8178" s="8" t="s">
        <v>355</v>
      </c>
      <c r="D8178" s="8" t="str">
        <f>"9783110443509"</f>
        <v>9783110443509</v>
      </c>
    </row>
    <row r="8179" spans="1:4" ht="30" x14ac:dyDescent="0.25">
      <c r="A8179" s="7" t="s">
        <v>7889</v>
      </c>
      <c r="B8179" s="8" t="s">
        <v>7890</v>
      </c>
      <c r="C8179" s="8" t="s">
        <v>5086</v>
      </c>
      <c r="D8179" s="8" t="str">
        <f>"9783658350703"</f>
        <v>9783658350703</v>
      </c>
    </row>
    <row r="8180" spans="1:4" ht="45" x14ac:dyDescent="0.25">
      <c r="A8180" s="7" t="s">
        <v>1733</v>
      </c>
      <c r="B8180" s="8" t="s">
        <v>1734</v>
      </c>
      <c r="C8180" s="8" t="s">
        <v>1345</v>
      </c>
      <c r="D8180" s="8" t="str">
        <f>"9783862196852"</f>
        <v>9783862196852</v>
      </c>
    </row>
    <row r="8181" spans="1:4" ht="30" x14ac:dyDescent="0.25">
      <c r="A8181" s="7" t="s">
        <v>1795</v>
      </c>
      <c r="B8181" s="8" t="s">
        <v>1796</v>
      </c>
      <c r="C8181" s="8" t="s">
        <v>1345</v>
      </c>
      <c r="D8181" s="8" t="str">
        <f>"9783862198092"</f>
        <v>9783862198092</v>
      </c>
    </row>
    <row r="8182" spans="1:4" ht="30" x14ac:dyDescent="0.25">
      <c r="A8182" s="7" t="s">
        <v>1752</v>
      </c>
      <c r="B8182" s="8" t="s">
        <v>1753</v>
      </c>
      <c r="C8182" s="8" t="s">
        <v>1345</v>
      </c>
      <c r="D8182" s="8" t="str">
        <f>"9783862197330"</f>
        <v>9783862197330</v>
      </c>
    </row>
    <row r="8183" spans="1:4" ht="30" x14ac:dyDescent="0.25">
      <c r="A8183" s="7" t="s">
        <v>1687</v>
      </c>
      <c r="B8183" s="8" t="s">
        <v>1688</v>
      </c>
      <c r="C8183" s="8" t="s">
        <v>1345</v>
      </c>
      <c r="D8183" s="8" t="str">
        <f>"9783899589351"</f>
        <v>9783899589351</v>
      </c>
    </row>
    <row r="8184" spans="1:4" ht="45" x14ac:dyDescent="0.25">
      <c r="A8184" s="7" t="s">
        <v>1641</v>
      </c>
      <c r="B8184" s="8" t="s">
        <v>1642</v>
      </c>
      <c r="C8184" s="8" t="s">
        <v>1345</v>
      </c>
      <c r="D8184" s="8" t="str">
        <f>"9783862190690"</f>
        <v>9783862190690</v>
      </c>
    </row>
    <row r="8185" spans="1:4" ht="45" x14ac:dyDescent="0.25">
      <c r="A8185" s="7" t="s">
        <v>1629</v>
      </c>
      <c r="B8185" s="8" t="s">
        <v>1630</v>
      </c>
      <c r="C8185" s="8" t="s">
        <v>1345</v>
      </c>
      <c r="D8185" s="8" t="str">
        <f>"9783862190737"</f>
        <v>9783862190737</v>
      </c>
    </row>
    <row r="8186" spans="1:4" x14ac:dyDescent="0.25">
      <c r="A8186" s="7" t="s">
        <v>12724</v>
      </c>
      <c r="B8186" s="8" t="s">
        <v>12725</v>
      </c>
      <c r="C8186" s="8" t="s">
        <v>12712</v>
      </c>
      <c r="D8186" s="8" t="str">
        <f>"9783428403424"</f>
        <v>9783428403424</v>
      </c>
    </row>
    <row r="8187" spans="1:4" ht="30" x14ac:dyDescent="0.25">
      <c r="A8187" s="7" t="s">
        <v>13259</v>
      </c>
      <c r="B8187" s="8" t="s">
        <v>13072</v>
      </c>
      <c r="C8187" s="8" t="s">
        <v>12712</v>
      </c>
      <c r="D8187" s="8" t="str">
        <f>"9783428574247"</f>
        <v>9783428574247</v>
      </c>
    </row>
    <row r="8188" spans="1:4" ht="30" x14ac:dyDescent="0.25">
      <c r="A8188" s="7" t="s">
        <v>13257</v>
      </c>
      <c r="B8188" s="8" t="s">
        <v>13072</v>
      </c>
      <c r="C8188" s="8" t="s">
        <v>12712</v>
      </c>
      <c r="D8188" s="8" t="str">
        <f>"9783428574223"</f>
        <v>9783428574223</v>
      </c>
    </row>
    <row r="8189" spans="1:4" ht="30" x14ac:dyDescent="0.25">
      <c r="A8189" s="7" t="s">
        <v>13255</v>
      </c>
      <c r="B8189" s="8" t="s">
        <v>13072</v>
      </c>
      <c r="C8189" s="8" t="s">
        <v>12712</v>
      </c>
      <c r="D8189" s="8" t="str">
        <f>"9783428574209"</f>
        <v>9783428574209</v>
      </c>
    </row>
    <row r="8190" spans="1:4" ht="30" x14ac:dyDescent="0.25">
      <c r="A8190" s="7" t="s">
        <v>13258</v>
      </c>
      <c r="B8190" s="8" t="s">
        <v>13072</v>
      </c>
      <c r="C8190" s="8" t="s">
        <v>12712</v>
      </c>
      <c r="D8190" s="8" t="str">
        <f>"9783428574230"</f>
        <v>9783428574230</v>
      </c>
    </row>
    <row r="8191" spans="1:4" ht="30" x14ac:dyDescent="0.25">
      <c r="A8191" s="7" t="s">
        <v>13256</v>
      </c>
      <c r="B8191" s="8" t="s">
        <v>13072</v>
      </c>
      <c r="C8191" s="8" t="s">
        <v>12712</v>
      </c>
      <c r="D8191" s="8" t="str">
        <f>"9783428574216"</f>
        <v>9783428574216</v>
      </c>
    </row>
    <row r="8192" spans="1:4" ht="30" x14ac:dyDescent="0.25">
      <c r="A8192" s="7" t="s">
        <v>13185</v>
      </c>
      <c r="B8192" s="8" t="s">
        <v>13072</v>
      </c>
      <c r="C8192" s="8" t="s">
        <v>12712</v>
      </c>
      <c r="D8192" s="8" t="str">
        <f>"9783428573462"</f>
        <v>9783428573462</v>
      </c>
    </row>
    <row r="8193" spans="1:4" ht="45" x14ac:dyDescent="0.25">
      <c r="A8193" s="7" t="s">
        <v>13153</v>
      </c>
      <c r="B8193" s="8" t="s">
        <v>13072</v>
      </c>
      <c r="C8193" s="8" t="s">
        <v>12712</v>
      </c>
      <c r="D8193" s="8" t="str">
        <f>"9783428573165"</f>
        <v>9783428573165</v>
      </c>
    </row>
    <row r="8194" spans="1:4" ht="45" x14ac:dyDescent="0.25">
      <c r="A8194" s="7" t="s">
        <v>13148</v>
      </c>
      <c r="B8194" s="8" t="s">
        <v>13072</v>
      </c>
      <c r="C8194" s="8" t="s">
        <v>12712</v>
      </c>
      <c r="D8194" s="8" t="str">
        <f>"9783428573110"</f>
        <v>9783428573110</v>
      </c>
    </row>
    <row r="8195" spans="1:4" ht="45" x14ac:dyDescent="0.25">
      <c r="A8195" s="7" t="s">
        <v>13146</v>
      </c>
      <c r="B8195" s="8" t="s">
        <v>13072</v>
      </c>
      <c r="C8195" s="8" t="s">
        <v>12712</v>
      </c>
      <c r="D8195" s="8" t="str">
        <f>"9783428573097"</f>
        <v>9783428573097</v>
      </c>
    </row>
    <row r="8196" spans="1:4" ht="60" x14ac:dyDescent="0.25">
      <c r="A8196" s="7" t="s">
        <v>13150</v>
      </c>
      <c r="B8196" s="8" t="s">
        <v>13072</v>
      </c>
      <c r="C8196" s="8" t="s">
        <v>12712</v>
      </c>
      <c r="D8196" s="8" t="str">
        <f>"9783428573134"</f>
        <v>9783428573134</v>
      </c>
    </row>
    <row r="8197" spans="1:4" ht="60" x14ac:dyDescent="0.25">
      <c r="A8197" s="7" t="s">
        <v>13154</v>
      </c>
      <c r="B8197" s="8" t="s">
        <v>13072</v>
      </c>
      <c r="C8197" s="8" t="s">
        <v>12712</v>
      </c>
      <c r="D8197" s="8" t="str">
        <f>"9783428573172"</f>
        <v>9783428573172</v>
      </c>
    </row>
    <row r="8198" spans="1:4" ht="45" x14ac:dyDescent="0.25">
      <c r="A8198" s="7" t="s">
        <v>13151</v>
      </c>
      <c r="B8198" s="8" t="s">
        <v>13072</v>
      </c>
      <c r="C8198" s="8" t="s">
        <v>12712</v>
      </c>
      <c r="D8198" s="8" t="str">
        <f>"9783428573141"</f>
        <v>9783428573141</v>
      </c>
    </row>
    <row r="8199" spans="1:4" ht="45" x14ac:dyDescent="0.25">
      <c r="A8199" s="7" t="s">
        <v>13152</v>
      </c>
      <c r="B8199" s="8" t="s">
        <v>13072</v>
      </c>
      <c r="C8199" s="8" t="s">
        <v>12712</v>
      </c>
      <c r="D8199" s="8" t="str">
        <f>"9783428573158"</f>
        <v>9783428573158</v>
      </c>
    </row>
    <row r="8200" spans="1:4" ht="45" x14ac:dyDescent="0.25">
      <c r="A8200" s="7" t="s">
        <v>13149</v>
      </c>
      <c r="B8200" s="8" t="s">
        <v>13072</v>
      </c>
      <c r="C8200" s="8" t="s">
        <v>12712</v>
      </c>
      <c r="D8200" s="8" t="str">
        <f>"9783428573127"</f>
        <v>9783428573127</v>
      </c>
    </row>
    <row r="8201" spans="1:4" ht="60" x14ac:dyDescent="0.25">
      <c r="A8201" s="7" t="s">
        <v>13147</v>
      </c>
      <c r="B8201" s="8" t="s">
        <v>13072</v>
      </c>
      <c r="C8201" s="8" t="s">
        <v>12712</v>
      </c>
      <c r="D8201" s="8" t="str">
        <f>"9783428573103"</f>
        <v>9783428573103</v>
      </c>
    </row>
    <row r="8202" spans="1:4" ht="45" x14ac:dyDescent="0.25">
      <c r="A8202" s="7" t="s">
        <v>13155</v>
      </c>
      <c r="B8202" s="8" t="s">
        <v>13072</v>
      </c>
      <c r="C8202" s="8" t="s">
        <v>12712</v>
      </c>
      <c r="D8202" s="8" t="str">
        <f>"9783428573189"</f>
        <v>9783428573189</v>
      </c>
    </row>
    <row r="8203" spans="1:4" ht="30" x14ac:dyDescent="0.25">
      <c r="A8203" s="7" t="s">
        <v>13164</v>
      </c>
      <c r="B8203" s="8" t="s">
        <v>13072</v>
      </c>
      <c r="C8203" s="8" t="s">
        <v>12712</v>
      </c>
      <c r="D8203" s="8" t="str">
        <f>"9783428573264"</f>
        <v>9783428573264</v>
      </c>
    </row>
    <row r="8204" spans="1:4" ht="30" x14ac:dyDescent="0.25">
      <c r="A8204" s="7" t="s">
        <v>13162</v>
      </c>
      <c r="B8204" s="8" t="s">
        <v>13072</v>
      </c>
      <c r="C8204" s="8" t="s">
        <v>12712</v>
      </c>
      <c r="D8204" s="8" t="str">
        <f>"9783428573240"</f>
        <v>9783428573240</v>
      </c>
    </row>
    <row r="8205" spans="1:4" ht="30" x14ac:dyDescent="0.25">
      <c r="A8205" s="7" t="s">
        <v>13166</v>
      </c>
      <c r="B8205" s="8" t="s">
        <v>13072</v>
      </c>
      <c r="C8205" s="8" t="s">
        <v>12712</v>
      </c>
      <c r="D8205" s="8" t="str">
        <f>"9783428573288"</f>
        <v>9783428573288</v>
      </c>
    </row>
    <row r="8206" spans="1:4" ht="30" x14ac:dyDescent="0.25">
      <c r="A8206" s="7" t="s">
        <v>13165</v>
      </c>
      <c r="B8206" s="8" t="s">
        <v>13072</v>
      </c>
      <c r="C8206" s="8" t="s">
        <v>12712</v>
      </c>
      <c r="D8206" s="8" t="str">
        <f>"9783428573271"</f>
        <v>9783428573271</v>
      </c>
    </row>
    <row r="8207" spans="1:4" ht="45" x14ac:dyDescent="0.25">
      <c r="A8207" s="7" t="s">
        <v>13163</v>
      </c>
      <c r="B8207" s="8" t="s">
        <v>13072</v>
      </c>
      <c r="C8207" s="8" t="s">
        <v>12712</v>
      </c>
      <c r="D8207" s="8" t="str">
        <f>"9783428573257"</f>
        <v>9783428573257</v>
      </c>
    </row>
    <row r="8208" spans="1:4" ht="30" x14ac:dyDescent="0.25">
      <c r="A8208" s="7" t="s">
        <v>13167</v>
      </c>
      <c r="B8208" s="8" t="s">
        <v>13072</v>
      </c>
      <c r="C8208" s="8" t="s">
        <v>12712</v>
      </c>
      <c r="D8208" s="8" t="str">
        <f>"9783428573295"</f>
        <v>9783428573295</v>
      </c>
    </row>
    <row r="8209" spans="1:4" ht="30" x14ac:dyDescent="0.25">
      <c r="A8209" s="7" t="s">
        <v>13168</v>
      </c>
      <c r="B8209" s="8" t="s">
        <v>13072</v>
      </c>
      <c r="C8209" s="8" t="s">
        <v>12712</v>
      </c>
      <c r="D8209" s="8" t="str">
        <f>"9783428573301"</f>
        <v>9783428573301</v>
      </c>
    </row>
    <row r="8210" spans="1:4" ht="45" x14ac:dyDescent="0.25">
      <c r="A8210" s="7" t="s">
        <v>13061</v>
      </c>
      <c r="B8210" s="8" t="s">
        <v>13062</v>
      </c>
      <c r="C8210" s="8" t="s">
        <v>12712</v>
      </c>
      <c r="D8210" s="8" t="str">
        <f>"9783428561261"</f>
        <v>9783428561261</v>
      </c>
    </row>
    <row r="8211" spans="1:4" ht="30" x14ac:dyDescent="0.25">
      <c r="A8211" s="7" t="s">
        <v>13273</v>
      </c>
      <c r="B8211" s="8" t="s">
        <v>13274</v>
      </c>
      <c r="C8211" s="8" t="s">
        <v>12712</v>
      </c>
      <c r="D8211" s="8" t="str">
        <f>"9783428574384"</f>
        <v>9783428574384</v>
      </c>
    </row>
    <row r="8212" spans="1:4" ht="30" x14ac:dyDescent="0.25">
      <c r="A8212" s="7" t="s">
        <v>13272</v>
      </c>
      <c r="B8212" s="8" t="s">
        <v>13072</v>
      </c>
      <c r="C8212" s="8" t="s">
        <v>12712</v>
      </c>
      <c r="D8212" s="8" t="str">
        <f>"9783428574377"</f>
        <v>9783428574377</v>
      </c>
    </row>
    <row r="8213" spans="1:4" ht="30" x14ac:dyDescent="0.25">
      <c r="A8213" s="7" t="s">
        <v>11416</v>
      </c>
      <c r="B8213" s="8" t="s">
        <v>11417</v>
      </c>
      <c r="C8213" s="8" t="s">
        <v>355</v>
      </c>
      <c r="D8213" s="8" t="str">
        <f>"9783111584430"</f>
        <v>9783111584430</v>
      </c>
    </row>
    <row r="8214" spans="1:4" ht="60" x14ac:dyDescent="0.25">
      <c r="A8214" s="7" t="s">
        <v>12714</v>
      </c>
      <c r="B8214" s="8" t="s">
        <v>12713</v>
      </c>
      <c r="C8214" s="8" t="s">
        <v>12712</v>
      </c>
      <c r="D8214" s="8" t="str">
        <f>"9783428400300"</f>
        <v>9783428400300</v>
      </c>
    </row>
    <row r="8215" spans="1:4" ht="60" x14ac:dyDescent="0.25">
      <c r="A8215" s="7" t="s">
        <v>12750</v>
      </c>
      <c r="B8215" s="8" t="s">
        <v>12713</v>
      </c>
      <c r="C8215" s="8" t="s">
        <v>12712</v>
      </c>
      <c r="D8215" s="8" t="str">
        <f>"9783428413393"</f>
        <v>9783428413393</v>
      </c>
    </row>
    <row r="8216" spans="1:4" ht="30" x14ac:dyDescent="0.25">
      <c r="A8216" s="7" t="s">
        <v>12751</v>
      </c>
      <c r="B8216" s="8" t="s">
        <v>12713</v>
      </c>
      <c r="C8216" s="8" t="s">
        <v>12712</v>
      </c>
      <c r="D8216" s="8" t="str">
        <f>"9783428412266"</f>
        <v>9783428412266</v>
      </c>
    </row>
    <row r="8217" spans="1:4" ht="45" x14ac:dyDescent="0.25">
      <c r="A8217" s="7" t="s">
        <v>12754</v>
      </c>
      <c r="B8217" s="8" t="s">
        <v>12713</v>
      </c>
      <c r="C8217" s="8" t="s">
        <v>12712</v>
      </c>
      <c r="D8217" s="8" t="str">
        <f>"9783428414048"</f>
        <v>9783428414048</v>
      </c>
    </row>
    <row r="8218" spans="1:4" ht="45" x14ac:dyDescent="0.25">
      <c r="A8218" s="7" t="s">
        <v>12711</v>
      </c>
      <c r="B8218" s="8" t="s">
        <v>12713</v>
      </c>
      <c r="C8218" s="8" t="s">
        <v>12712</v>
      </c>
      <c r="D8218" s="8" t="str">
        <f>"9783428400096"</f>
        <v>9783428400096</v>
      </c>
    </row>
    <row r="8219" spans="1:4" ht="45" x14ac:dyDescent="0.25">
      <c r="A8219" s="7" t="s">
        <v>12736</v>
      </c>
      <c r="B8219" s="8" t="s">
        <v>12713</v>
      </c>
      <c r="C8219" s="8" t="s">
        <v>12712</v>
      </c>
      <c r="D8219" s="8" t="str">
        <f>"9783428408092"</f>
        <v>9783428408092</v>
      </c>
    </row>
    <row r="8220" spans="1:4" ht="45" x14ac:dyDescent="0.25">
      <c r="A8220" s="7" t="s">
        <v>12727</v>
      </c>
      <c r="B8220" s="8" t="s">
        <v>12713</v>
      </c>
      <c r="C8220" s="8" t="s">
        <v>12712</v>
      </c>
      <c r="D8220" s="8" t="str">
        <f>"9783428403769"</f>
        <v>9783428403769</v>
      </c>
    </row>
    <row r="8221" spans="1:4" ht="45" x14ac:dyDescent="0.25">
      <c r="A8221" s="7" t="s">
        <v>12737</v>
      </c>
      <c r="B8221" s="8" t="s">
        <v>12713</v>
      </c>
      <c r="C8221" s="8" t="s">
        <v>12712</v>
      </c>
      <c r="D8221" s="8" t="str">
        <f>"9783428408139"</f>
        <v>9783428408139</v>
      </c>
    </row>
    <row r="8222" spans="1:4" ht="45" x14ac:dyDescent="0.25">
      <c r="A8222" s="7" t="s">
        <v>12723</v>
      </c>
      <c r="B8222" s="8" t="s">
        <v>12713</v>
      </c>
      <c r="C8222" s="8" t="s">
        <v>12712</v>
      </c>
      <c r="D8222" s="8" t="str">
        <f>"9783428403370"</f>
        <v>9783428403370</v>
      </c>
    </row>
    <row r="8223" spans="1:4" ht="45" x14ac:dyDescent="0.25">
      <c r="A8223" s="7" t="s">
        <v>12763</v>
      </c>
      <c r="B8223" s="8" t="s">
        <v>12713</v>
      </c>
      <c r="C8223" s="8" t="s">
        <v>12712</v>
      </c>
      <c r="D8223" s="8" t="str">
        <f>"9783428416141"</f>
        <v>9783428416141</v>
      </c>
    </row>
    <row r="8224" spans="1:4" ht="45" x14ac:dyDescent="0.25">
      <c r="A8224" s="7" t="s">
        <v>12740</v>
      </c>
      <c r="B8224" s="8" t="s">
        <v>12713</v>
      </c>
      <c r="C8224" s="8" t="s">
        <v>12712</v>
      </c>
      <c r="D8224" s="8" t="str">
        <f>"9783428410583"</f>
        <v>9783428410583</v>
      </c>
    </row>
    <row r="8225" spans="1:4" ht="30" x14ac:dyDescent="0.25">
      <c r="A8225" s="7" t="s">
        <v>1497</v>
      </c>
      <c r="B8225" s="8" t="s">
        <v>1498</v>
      </c>
      <c r="C8225" s="8" t="s">
        <v>1345</v>
      </c>
      <c r="D8225" s="8" t="str">
        <f>"9783862194919"</f>
        <v>9783862194919</v>
      </c>
    </row>
    <row r="8226" spans="1:4" x14ac:dyDescent="0.25">
      <c r="A8226" s="7" t="s">
        <v>2121</v>
      </c>
      <c r="B8226" s="8" t="s">
        <v>2122</v>
      </c>
      <c r="C8226" s="8" t="s">
        <v>1345</v>
      </c>
      <c r="D8226" s="8" t="str">
        <f>"9783737600033"</f>
        <v>9783737600033</v>
      </c>
    </row>
    <row r="8227" spans="1:4" x14ac:dyDescent="0.25">
      <c r="A8227" s="7" t="s">
        <v>12761</v>
      </c>
      <c r="B8227" s="8" t="s">
        <v>12759</v>
      </c>
      <c r="C8227" s="8" t="s">
        <v>12712</v>
      </c>
      <c r="D8227" s="8" t="str">
        <f>"9783428415670"</f>
        <v>9783428415670</v>
      </c>
    </row>
    <row r="8228" spans="1:4" x14ac:dyDescent="0.25">
      <c r="A8228" s="7" t="s">
        <v>3435</v>
      </c>
      <c r="B8228" s="8" t="s">
        <v>3436</v>
      </c>
      <c r="C8228" s="8" t="s">
        <v>562</v>
      </c>
      <c r="D8228" s="8" t="str">
        <f>"9780822372363"</f>
        <v>9780822372363</v>
      </c>
    </row>
    <row r="8229" spans="1:4" x14ac:dyDescent="0.25">
      <c r="A8229" s="7" t="s">
        <v>9800</v>
      </c>
      <c r="B8229" s="8" t="s">
        <v>9801</v>
      </c>
      <c r="C8229" s="8" t="s">
        <v>993</v>
      </c>
      <c r="D8229" s="8" t="str">
        <f>"9783839404966"</f>
        <v>9783839404966</v>
      </c>
    </row>
    <row r="8230" spans="1:4" ht="45" x14ac:dyDescent="0.25">
      <c r="A8230" s="7" t="s">
        <v>4902</v>
      </c>
      <c r="B8230" s="8" t="s">
        <v>4903</v>
      </c>
      <c r="C8230" s="8" t="s">
        <v>1865</v>
      </c>
      <c r="D8230" s="8" t="str">
        <f>"9789179299125"</f>
        <v>9789179299125</v>
      </c>
    </row>
    <row r="8231" spans="1:4" x14ac:dyDescent="0.25">
      <c r="A8231" s="7" t="s">
        <v>8740</v>
      </c>
      <c r="B8231" s="8" t="s">
        <v>8741</v>
      </c>
      <c r="C8231" s="8" t="s">
        <v>2273</v>
      </c>
      <c r="D8231" s="8" t="str">
        <f>"9783030856687"</f>
        <v>9783030856687</v>
      </c>
    </row>
    <row r="8232" spans="1:4" x14ac:dyDescent="0.25">
      <c r="A8232" s="7" t="s">
        <v>2434</v>
      </c>
      <c r="B8232" s="8" t="s">
        <v>2435</v>
      </c>
      <c r="C8232" s="8" t="s">
        <v>1865</v>
      </c>
      <c r="D8232" s="8" t="str">
        <f>"9789176859292"</f>
        <v>9789176859292</v>
      </c>
    </row>
    <row r="8233" spans="1:4" ht="45" x14ac:dyDescent="0.25">
      <c r="A8233" s="7" t="s">
        <v>13639</v>
      </c>
      <c r="B8233" s="8" t="s">
        <v>13640</v>
      </c>
      <c r="C8233" s="8" t="s">
        <v>2274</v>
      </c>
      <c r="D8233" s="8" t="str">
        <f>"9789811980619"</f>
        <v>9789811980619</v>
      </c>
    </row>
    <row r="8234" spans="1:4" ht="30" x14ac:dyDescent="0.25">
      <c r="A8234" s="7" t="s">
        <v>15825</v>
      </c>
      <c r="B8234" s="8" t="s">
        <v>4897</v>
      </c>
      <c r="C8234" s="8" t="s">
        <v>1865</v>
      </c>
      <c r="D8234" s="8" t="str">
        <f>"9789176853801"</f>
        <v>9789176853801</v>
      </c>
    </row>
    <row r="8235" spans="1:4" x14ac:dyDescent="0.25">
      <c r="A8235" s="7" t="s">
        <v>4334</v>
      </c>
      <c r="B8235" s="8" t="s">
        <v>4335</v>
      </c>
      <c r="C8235" s="8" t="s">
        <v>329</v>
      </c>
      <c r="D8235" s="8" t="str">
        <f>"9789048535811"</f>
        <v>9789048535811</v>
      </c>
    </row>
    <row r="8236" spans="1:4" x14ac:dyDescent="0.25">
      <c r="A8236" s="7" t="s">
        <v>8733</v>
      </c>
      <c r="B8236" s="8" t="s">
        <v>8734</v>
      </c>
      <c r="C8236" s="8" t="s">
        <v>2273</v>
      </c>
      <c r="D8236" s="8" t="str">
        <f>"9783030745448"</f>
        <v>9783030745448</v>
      </c>
    </row>
    <row r="8237" spans="1:4" x14ac:dyDescent="0.25">
      <c r="A8237" s="7" t="s">
        <v>6734</v>
      </c>
      <c r="B8237" s="8" t="s">
        <v>6735</v>
      </c>
      <c r="C8237" s="8" t="s">
        <v>4245</v>
      </c>
      <c r="D8237" s="8" t="str">
        <f>"9789811589836"</f>
        <v>9789811589836</v>
      </c>
    </row>
    <row r="8238" spans="1:4" ht="30" x14ac:dyDescent="0.25">
      <c r="A8238" s="7" t="s">
        <v>13584</v>
      </c>
      <c r="B8238" s="8" t="s">
        <v>13585</v>
      </c>
      <c r="C8238" s="8" t="s">
        <v>2273</v>
      </c>
      <c r="D8238" s="8" t="str">
        <f>"9783031197482"</f>
        <v>9783031197482</v>
      </c>
    </row>
    <row r="8239" spans="1:4" x14ac:dyDescent="0.25">
      <c r="A8239" s="7" t="s">
        <v>8720</v>
      </c>
      <c r="B8239" s="8" t="s">
        <v>8721</v>
      </c>
      <c r="C8239" s="8" t="s">
        <v>1036</v>
      </c>
      <c r="D8239" s="8" t="str">
        <f>"9789027258281"</f>
        <v>9789027258281</v>
      </c>
    </row>
    <row r="8240" spans="1:4" x14ac:dyDescent="0.25">
      <c r="A8240" s="7" t="s">
        <v>3061</v>
      </c>
      <c r="B8240" s="8" t="s">
        <v>3062</v>
      </c>
      <c r="C8240" s="8" t="s">
        <v>993</v>
      </c>
      <c r="D8240" s="8" t="str">
        <f>"9783839437155"</f>
        <v>9783839437155</v>
      </c>
    </row>
    <row r="8241" spans="1:4" x14ac:dyDescent="0.25">
      <c r="A8241" s="7" t="s">
        <v>7026</v>
      </c>
      <c r="B8241" s="8" t="s">
        <v>7027</v>
      </c>
      <c r="C8241" s="8" t="s">
        <v>355</v>
      </c>
      <c r="D8241" s="8" t="str">
        <f>"9783110641813"</f>
        <v>9783110641813</v>
      </c>
    </row>
    <row r="8242" spans="1:4" x14ac:dyDescent="0.25">
      <c r="A8242" s="7" t="s">
        <v>8381</v>
      </c>
      <c r="B8242" s="8" t="s">
        <v>8382</v>
      </c>
      <c r="C8242" s="8" t="s">
        <v>993</v>
      </c>
      <c r="D8242" s="8" t="str">
        <f>"9783839450185"</f>
        <v>9783839450185</v>
      </c>
    </row>
    <row r="8243" spans="1:4" x14ac:dyDescent="0.25">
      <c r="A8243" s="7" t="s">
        <v>6671</v>
      </c>
      <c r="B8243" s="8" t="s">
        <v>6672</v>
      </c>
      <c r="C8243" s="8" t="s">
        <v>2273</v>
      </c>
      <c r="D8243" s="8" t="str">
        <f>"9783030645694"</f>
        <v>9783030645694</v>
      </c>
    </row>
    <row r="8244" spans="1:4" ht="30" x14ac:dyDescent="0.25">
      <c r="A8244" s="7" t="s">
        <v>6139</v>
      </c>
      <c r="B8244" s="8" t="s">
        <v>6140</v>
      </c>
      <c r="C8244" s="8" t="s">
        <v>5214</v>
      </c>
      <c r="D8244" s="8" t="str">
        <f>"9789400770881"</f>
        <v>9789400770881</v>
      </c>
    </row>
    <row r="8245" spans="1:4" x14ac:dyDescent="0.25">
      <c r="A8245" s="7" t="s">
        <v>11548</v>
      </c>
      <c r="B8245" s="8" t="s">
        <v>11549</v>
      </c>
      <c r="C8245" s="8" t="s">
        <v>316</v>
      </c>
      <c r="D8245" s="8" t="str">
        <f>"9783110828368"</f>
        <v>9783110828368</v>
      </c>
    </row>
    <row r="8246" spans="1:4" x14ac:dyDescent="0.25">
      <c r="A8246" s="7" t="s">
        <v>12576</v>
      </c>
      <c r="B8246" s="8" t="s">
        <v>12577</v>
      </c>
      <c r="C8246" s="8" t="s">
        <v>2273</v>
      </c>
      <c r="D8246" s="8" t="str">
        <f>"9783031044847"</f>
        <v>9783031044847</v>
      </c>
    </row>
    <row r="8247" spans="1:4" x14ac:dyDescent="0.25">
      <c r="A8247" s="7" t="s">
        <v>8557</v>
      </c>
      <c r="B8247" s="8" t="s">
        <v>8558</v>
      </c>
      <c r="C8247" s="8" t="s">
        <v>5064</v>
      </c>
      <c r="D8247" s="8" t="str">
        <f>"9789811227882"</f>
        <v>9789811227882</v>
      </c>
    </row>
    <row r="8248" spans="1:4" ht="30" x14ac:dyDescent="0.25">
      <c r="A8248" s="7" t="s">
        <v>1672</v>
      </c>
      <c r="B8248" s="8" t="s">
        <v>1673</v>
      </c>
      <c r="C8248" s="8" t="s">
        <v>1345</v>
      </c>
      <c r="D8248" s="8" t="str">
        <f>"9783862191932"</f>
        <v>9783862191932</v>
      </c>
    </row>
    <row r="8249" spans="1:4" x14ac:dyDescent="0.25">
      <c r="A8249" s="7" t="s">
        <v>3898</v>
      </c>
      <c r="B8249" s="8" t="s">
        <v>3899</v>
      </c>
      <c r="C8249" s="8" t="s">
        <v>355</v>
      </c>
      <c r="D8249" s="8" t="str">
        <f>"9783110537482"</f>
        <v>9783110537482</v>
      </c>
    </row>
    <row r="8250" spans="1:4" x14ac:dyDescent="0.25">
      <c r="A8250" s="7" t="s">
        <v>6104</v>
      </c>
      <c r="B8250" s="8" t="s">
        <v>6105</v>
      </c>
      <c r="C8250" s="8" t="s">
        <v>2273</v>
      </c>
      <c r="D8250" s="8" t="str">
        <f>"9783319336664"</f>
        <v>9783319336664</v>
      </c>
    </row>
    <row r="8251" spans="1:4" x14ac:dyDescent="0.25">
      <c r="A8251" s="7" t="s">
        <v>6266</v>
      </c>
      <c r="B8251" s="8" t="s">
        <v>6267</v>
      </c>
      <c r="C8251" s="8" t="s">
        <v>2273</v>
      </c>
      <c r="D8251" s="8" t="str">
        <f>"9783319426112"</f>
        <v>9783319426112</v>
      </c>
    </row>
    <row r="8252" spans="1:4" x14ac:dyDescent="0.25">
      <c r="A8252" s="7" t="s">
        <v>3650</v>
      </c>
      <c r="B8252" s="8" t="s">
        <v>3651</v>
      </c>
      <c r="C8252" s="8" t="s">
        <v>1865</v>
      </c>
      <c r="D8252" s="8" t="str">
        <f>"9789176853412"</f>
        <v>9789176853412</v>
      </c>
    </row>
    <row r="8253" spans="1:4" x14ac:dyDescent="0.25">
      <c r="A8253" s="7" t="s">
        <v>11311</v>
      </c>
      <c r="B8253" s="8" t="s">
        <v>11312</v>
      </c>
      <c r="C8253" s="8" t="s">
        <v>355</v>
      </c>
      <c r="D8253" s="8" t="str">
        <f>"9783110712902"</f>
        <v>9783110712902</v>
      </c>
    </row>
    <row r="8254" spans="1:4" ht="30" x14ac:dyDescent="0.25">
      <c r="A8254" s="7" t="s">
        <v>4507</v>
      </c>
      <c r="B8254" s="8" t="s">
        <v>4508</v>
      </c>
      <c r="C8254" s="8" t="s">
        <v>1865</v>
      </c>
      <c r="D8254" s="8" t="str">
        <f>"9789176850534"</f>
        <v>9789176850534</v>
      </c>
    </row>
    <row r="8255" spans="1:4" ht="30" x14ac:dyDescent="0.25">
      <c r="A8255" s="7" t="s">
        <v>3423</v>
      </c>
      <c r="B8255" s="8" t="s">
        <v>3424</v>
      </c>
      <c r="C8255" s="8" t="s">
        <v>1865</v>
      </c>
      <c r="D8255" s="8" t="str">
        <f>"9789176854594"</f>
        <v>9789176854594</v>
      </c>
    </row>
    <row r="8256" spans="1:4" x14ac:dyDescent="0.25">
      <c r="A8256" s="7" t="s">
        <v>10305</v>
      </c>
      <c r="B8256" s="8" t="s">
        <v>10306</v>
      </c>
      <c r="C8256" s="8" t="s">
        <v>993</v>
      </c>
      <c r="D8256" s="8" t="str">
        <f>"9783839448427"</f>
        <v>9783839448427</v>
      </c>
    </row>
    <row r="8257" spans="1:4" x14ac:dyDescent="0.25">
      <c r="A8257" s="7" t="s">
        <v>9403</v>
      </c>
      <c r="B8257" s="8" t="s">
        <v>9381</v>
      </c>
      <c r="C8257" s="8" t="s">
        <v>9256</v>
      </c>
      <c r="D8257" s="8" t="str">
        <f>"9788021097698"</f>
        <v>9788021097698</v>
      </c>
    </row>
    <row r="8258" spans="1:4" x14ac:dyDescent="0.25">
      <c r="A8258" s="7" t="s">
        <v>11424</v>
      </c>
      <c r="B8258" s="8" t="s">
        <v>11425</v>
      </c>
      <c r="C8258" s="8" t="s">
        <v>355</v>
      </c>
      <c r="D8258" s="8" t="str">
        <f>"9783486757422"</f>
        <v>9783486757422</v>
      </c>
    </row>
    <row r="8259" spans="1:4" ht="30" x14ac:dyDescent="0.25">
      <c r="A8259" s="7" t="s">
        <v>4385</v>
      </c>
      <c r="B8259" s="8" t="s">
        <v>4386</v>
      </c>
      <c r="C8259" s="8" t="s">
        <v>1345</v>
      </c>
      <c r="D8259" s="8" t="str">
        <f>"9783737605496"</f>
        <v>9783737605496</v>
      </c>
    </row>
    <row r="8260" spans="1:4" ht="30" x14ac:dyDescent="0.25">
      <c r="A8260" s="7" t="s">
        <v>10247</v>
      </c>
      <c r="B8260" s="8" t="s">
        <v>10248</v>
      </c>
      <c r="C8260" s="8" t="s">
        <v>993</v>
      </c>
      <c r="D8260" s="8" t="str">
        <f>"9783839446119"</f>
        <v>9783839446119</v>
      </c>
    </row>
    <row r="8261" spans="1:4" ht="30" x14ac:dyDescent="0.25">
      <c r="A8261" s="7" t="s">
        <v>1587</v>
      </c>
      <c r="B8261" s="8" t="s">
        <v>1588</v>
      </c>
      <c r="C8261" s="8" t="s">
        <v>1345</v>
      </c>
      <c r="D8261" s="8" t="str">
        <f>"9783862192618"</f>
        <v>9783862192618</v>
      </c>
    </row>
    <row r="8262" spans="1:4" ht="30" x14ac:dyDescent="0.25">
      <c r="A8262" s="7" t="s">
        <v>13144</v>
      </c>
      <c r="B8262" s="8" t="s">
        <v>13072</v>
      </c>
      <c r="C8262" s="8" t="s">
        <v>12712</v>
      </c>
      <c r="D8262" s="8" t="str">
        <f>"9783428573073"</f>
        <v>9783428573073</v>
      </c>
    </row>
    <row r="8263" spans="1:4" ht="30" x14ac:dyDescent="0.25">
      <c r="A8263" s="7" t="s">
        <v>11799</v>
      </c>
      <c r="B8263" s="8" t="s">
        <v>11800</v>
      </c>
      <c r="C8263" s="8" t="s">
        <v>355</v>
      </c>
      <c r="D8263" s="8" t="str">
        <f>"9783110676631"</f>
        <v>9783110676631</v>
      </c>
    </row>
    <row r="8264" spans="1:4" x14ac:dyDescent="0.25">
      <c r="A8264" s="7" t="s">
        <v>12467</v>
      </c>
      <c r="B8264" s="8" t="s">
        <v>12468</v>
      </c>
      <c r="C8264" s="8" t="s">
        <v>355</v>
      </c>
      <c r="D8264" s="8" t="str">
        <f>"9783110759105"</f>
        <v>9783110759105</v>
      </c>
    </row>
    <row r="8265" spans="1:4" ht="30" x14ac:dyDescent="0.25">
      <c r="A8265" s="7" t="s">
        <v>12352</v>
      </c>
      <c r="B8265" s="8" t="s">
        <v>12353</v>
      </c>
      <c r="C8265" s="8" t="s">
        <v>993</v>
      </c>
      <c r="D8265" s="8" t="str">
        <f>"9783839463055"</f>
        <v>9783839463055</v>
      </c>
    </row>
    <row r="8266" spans="1:4" ht="30" x14ac:dyDescent="0.25">
      <c r="A8266" s="7" t="s">
        <v>7910</v>
      </c>
      <c r="B8266" s="8" t="s">
        <v>7911</v>
      </c>
      <c r="C8266" s="8" t="s">
        <v>5942</v>
      </c>
      <c r="D8266" s="8" t="str">
        <f>"9783662625620"</f>
        <v>9783662625620</v>
      </c>
    </row>
    <row r="8267" spans="1:4" ht="30" x14ac:dyDescent="0.25">
      <c r="A8267" s="7" t="s">
        <v>8537</v>
      </c>
      <c r="B8267" s="8" t="s">
        <v>8538</v>
      </c>
      <c r="C8267" s="8" t="s">
        <v>993</v>
      </c>
      <c r="D8267" s="8" t="str">
        <f>"9783839456064"</f>
        <v>9783839456064</v>
      </c>
    </row>
    <row r="8268" spans="1:4" x14ac:dyDescent="0.25">
      <c r="A8268" s="7" t="s">
        <v>10361</v>
      </c>
      <c r="B8268" s="8" t="s">
        <v>10362</v>
      </c>
      <c r="C8268" s="8" t="s">
        <v>993</v>
      </c>
      <c r="D8268" s="8" t="str">
        <f>"9783839451984"</f>
        <v>9783839451984</v>
      </c>
    </row>
    <row r="8269" spans="1:4" ht="30" x14ac:dyDescent="0.25">
      <c r="A8269" s="7" t="s">
        <v>2132</v>
      </c>
      <c r="B8269" s="8" t="s">
        <v>2133</v>
      </c>
      <c r="C8269" s="8" t="s">
        <v>1865</v>
      </c>
      <c r="D8269" s="8" t="str">
        <f>"9789175190563"</f>
        <v>9789175190563</v>
      </c>
    </row>
    <row r="8270" spans="1:4" ht="30" x14ac:dyDescent="0.25">
      <c r="A8270" s="7" t="s">
        <v>2478</v>
      </c>
      <c r="B8270" s="8" t="s">
        <v>2479</v>
      </c>
      <c r="C8270" s="8" t="s">
        <v>1865</v>
      </c>
      <c r="D8270" s="8" t="str">
        <f>"9789176859094"</f>
        <v>9789176859094</v>
      </c>
    </row>
    <row r="8271" spans="1:4" ht="30" x14ac:dyDescent="0.25">
      <c r="A8271" s="7" t="s">
        <v>15440</v>
      </c>
      <c r="B8271" s="8" t="s">
        <v>15441</v>
      </c>
      <c r="C8271" s="8" t="s">
        <v>1865</v>
      </c>
      <c r="D8271" s="8" t="str">
        <f>"9789176859377"</f>
        <v>9789176859377</v>
      </c>
    </row>
    <row r="8272" spans="1:4" x14ac:dyDescent="0.25">
      <c r="A8272" s="7" t="s">
        <v>16066</v>
      </c>
      <c r="B8272" s="8" t="s">
        <v>16067</v>
      </c>
      <c r="C8272" s="8" t="s">
        <v>1865</v>
      </c>
      <c r="D8272" s="8" t="str">
        <f>"9789175197463"</f>
        <v>9789175197463</v>
      </c>
    </row>
    <row r="8273" spans="1:4" x14ac:dyDescent="0.25">
      <c r="A8273" s="7" t="s">
        <v>11342</v>
      </c>
      <c r="B8273" s="8" t="s">
        <v>11343</v>
      </c>
      <c r="C8273" s="8" t="s">
        <v>316</v>
      </c>
      <c r="D8273" s="8" t="str">
        <f>"9783110755657"</f>
        <v>9783110755657</v>
      </c>
    </row>
    <row r="8274" spans="1:4" x14ac:dyDescent="0.25">
      <c r="A8274" s="7" t="s">
        <v>3104</v>
      </c>
      <c r="B8274" s="8" t="s">
        <v>3105</v>
      </c>
      <c r="C8274" s="8" t="s">
        <v>1865</v>
      </c>
      <c r="D8274" s="8" t="str">
        <f>"9789176855492"</f>
        <v>9789176855492</v>
      </c>
    </row>
    <row r="8275" spans="1:4" ht="45" x14ac:dyDescent="0.25">
      <c r="A8275" s="7" t="s">
        <v>14697</v>
      </c>
      <c r="B8275" s="8" t="s">
        <v>14682</v>
      </c>
      <c r="C8275" s="8" t="s">
        <v>1865</v>
      </c>
      <c r="D8275" s="8" t="str">
        <f>"9789179291167"</f>
        <v>9789179291167</v>
      </c>
    </row>
    <row r="8276" spans="1:4" x14ac:dyDescent="0.25">
      <c r="A8276" s="7" t="s">
        <v>9517</v>
      </c>
      <c r="B8276" s="8" t="s">
        <v>9518</v>
      </c>
      <c r="C8276" s="8" t="s">
        <v>2273</v>
      </c>
      <c r="D8276" s="8" t="str">
        <f>"9783030892890"</f>
        <v>9783030892890</v>
      </c>
    </row>
    <row r="8277" spans="1:4" x14ac:dyDescent="0.25">
      <c r="A8277" s="7" t="s">
        <v>12689</v>
      </c>
      <c r="B8277" s="8" t="s">
        <v>12690</v>
      </c>
      <c r="C8277" s="8" t="s">
        <v>2273</v>
      </c>
      <c r="D8277" s="8" t="str">
        <f>"9783031084249"</f>
        <v>9783031084249</v>
      </c>
    </row>
    <row r="8278" spans="1:4" x14ac:dyDescent="0.25">
      <c r="A8278" s="7" t="s">
        <v>10579</v>
      </c>
      <c r="B8278" s="8" t="s">
        <v>10580</v>
      </c>
      <c r="C8278" s="8" t="s">
        <v>993</v>
      </c>
      <c r="D8278" s="8" t="str">
        <f>"9783839460665"</f>
        <v>9783839460665</v>
      </c>
    </row>
    <row r="8279" spans="1:4" x14ac:dyDescent="0.25">
      <c r="A8279" s="7" t="s">
        <v>11856</v>
      </c>
      <c r="B8279" s="8" t="s">
        <v>11857</v>
      </c>
      <c r="C8279" s="8" t="s">
        <v>355</v>
      </c>
      <c r="D8279" s="8" t="str">
        <f>"9783110716016"</f>
        <v>9783110716016</v>
      </c>
    </row>
    <row r="8280" spans="1:4" x14ac:dyDescent="0.25">
      <c r="A8280" s="7" t="s">
        <v>16077</v>
      </c>
      <c r="B8280" s="8" t="s">
        <v>16078</v>
      </c>
      <c r="C8280" s="8" t="s">
        <v>1865</v>
      </c>
      <c r="D8280" s="8" t="str">
        <f>"9789175196732"</f>
        <v>9789175196732</v>
      </c>
    </row>
    <row r="8281" spans="1:4" x14ac:dyDescent="0.25">
      <c r="A8281" s="7" t="s">
        <v>9300</v>
      </c>
      <c r="B8281" s="8" t="s">
        <v>9301</v>
      </c>
      <c r="C8281" s="8" t="s">
        <v>9256</v>
      </c>
      <c r="D8281" s="8" t="str">
        <f>"9788021094307"</f>
        <v>9788021094307</v>
      </c>
    </row>
    <row r="8282" spans="1:4" ht="30" x14ac:dyDescent="0.25">
      <c r="A8282" s="7" t="s">
        <v>15417</v>
      </c>
      <c r="B8282" s="8" t="s">
        <v>15418</v>
      </c>
      <c r="C8282" s="8" t="s">
        <v>1865</v>
      </c>
      <c r="D8282" s="8" t="str">
        <f>"9789175199634"</f>
        <v>9789175199634</v>
      </c>
    </row>
    <row r="8283" spans="1:4" ht="30" x14ac:dyDescent="0.25">
      <c r="A8283" s="7" t="s">
        <v>10883</v>
      </c>
      <c r="B8283" s="8" t="s">
        <v>10884</v>
      </c>
      <c r="C8283" s="8" t="s">
        <v>5086</v>
      </c>
      <c r="D8283" s="8" t="str">
        <f>"9783658354565"</f>
        <v>9783658354565</v>
      </c>
    </row>
    <row r="8284" spans="1:4" ht="30" x14ac:dyDescent="0.25">
      <c r="A8284" s="7" t="s">
        <v>2650</v>
      </c>
      <c r="B8284" s="8" t="s">
        <v>2651</v>
      </c>
      <c r="C8284" s="8" t="s">
        <v>355</v>
      </c>
      <c r="D8284" s="8" t="str">
        <f>"9783110460582"</f>
        <v>9783110460582</v>
      </c>
    </row>
    <row r="8285" spans="1:4" ht="30" x14ac:dyDescent="0.25">
      <c r="A8285" s="7" t="s">
        <v>2588</v>
      </c>
      <c r="B8285" s="8" t="s">
        <v>2589</v>
      </c>
      <c r="C8285" s="8" t="s">
        <v>355</v>
      </c>
      <c r="D8285" s="8" t="str">
        <f>"9783110444612"</f>
        <v>9783110444612</v>
      </c>
    </row>
    <row r="8286" spans="1:4" ht="30" x14ac:dyDescent="0.25">
      <c r="A8286" s="7" t="s">
        <v>2900</v>
      </c>
      <c r="B8286" s="8" t="s">
        <v>2901</v>
      </c>
      <c r="C8286" s="8" t="s">
        <v>316</v>
      </c>
      <c r="D8286" s="8" t="str">
        <f>"9783110423136"</f>
        <v>9783110423136</v>
      </c>
    </row>
    <row r="8287" spans="1:4" x14ac:dyDescent="0.25">
      <c r="A8287" s="7" t="s">
        <v>2502</v>
      </c>
      <c r="B8287" s="8" t="s">
        <v>2503</v>
      </c>
      <c r="C8287" s="8" t="s">
        <v>1865</v>
      </c>
      <c r="D8287" s="8" t="str">
        <f>"9789176859063"</f>
        <v>9789176859063</v>
      </c>
    </row>
    <row r="8288" spans="1:4" x14ac:dyDescent="0.25">
      <c r="A8288" s="7" t="s">
        <v>11761</v>
      </c>
      <c r="B8288" s="8" t="s">
        <v>11292</v>
      </c>
      <c r="C8288" s="8" t="s">
        <v>355</v>
      </c>
      <c r="D8288" s="8" t="str">
        <f>"9783110622560"</f>
        <v>9783110622560</v>
      </c>
    </row>
    <row r="8289" spans="1:4" ht="30" x14ac:dyDescent="0.25">
      <c r="A8289" s="7" t="s">
        <v>4966</v>
      </c>
      <c r="B8289" s="8" t="s">
        <v>4967</v>
      </c>
      <c r="C8289" s="8" t="s">
        <v>1865</v>
      </c>
      <c r="D8289" s="8" t="str">
        <f>"9789179298395"</f>
        <v>9789179298395</v>
      </c>
    </row>
    <row r="8290" spans="1:4" x14ac:dyDescent="0.25">
      <c r="A8290" s="7" t="s">
        <v>4542</v>
      </c>
      <c r="B8290" s="8" t="s">
        <v>4543</v>
      </c>
      <c r="C8290" s="8" t="s">
        <v>1865</v>
      </c>
      <c r="D8290" s="8" t="str">
        <f>"9789176850220"</f>
        <v>9789176850220</v>
      </c>
    </row>
    <row r="8291" spans="1:4" x14ac:dyDescent="0.25">
      <c r="A8291" s="7" t="s">
        <v>13688</v>
      </c>
      <c r="B8291" s="8" t="s">
        <v>13689</v>
      </c>
      <c r="C8291" s="8" t="s">
        <v>2274</v>
      </c>
      <c r="D8291" s="8" t="str">
        <f>"9789811956072"</f>
        <v>9789811956072</v>
      </c>
    </row>
    <row r="8292" spans="1:4" x14ac:dyDescent="0.25">
      <c r="A8292" s="7" t="s">
        <v>5357</v>
      </c>
      <c r="B8292" s="8" t="s">
        <v>5359</v>
      </c>
      <c r="C8292" s="8" t="s">
        <v>5358</v>
      </c>
      <c r="D8292" s="8" t="str">
        <f>"9781780648996"</f>
        <v>9781780648996</v>
      </c>
    </row>
    <row r="8293" spans="1:4" x14ac:dyDescent="0.25">
      <c r="A8293" s="7" t="s">
        <v>1873</v>
      </c>
      <c r="B8293" s="8" t="s">
        <v>1874</v>
      </c>
      <c r="C8293" s="8" t="s">
        <v>1865</v>
      </c>
      <c r="D8293" s="8" t="str">
        <f>"9789175190792"</f>
        <v>9789175190792</v>
      </c>
    </row>
    <row r="8294" spans="1:4" x14ac:dyDescent="0.25">
      <c r="A8294" s="7" t="s">
        <v>9348</v>
      </c>
      <c r="B8294" s="8" t="s">
        <v>9349</v>
      </c>
      <c r="C8294" s="8" t="s">
        <v>9256</v>
      </c>
      <c r="D8294" s="8" t="str">
        <f>"9788021095939"</f>
        <v>9788021095939</v>
      </c>
    </row>
    <row r="8295" spans="1:4" ht="45" x14ac:dyDescent="0.25">
      <c r="A8295" s="7" t="s">
        <v>2704</v>
      </c>
      <c r="B8295" s="8" t="s">
        <v>2705</v>
      </c>
      <c r="C8295" s="8" t="s">
        <v>1345</v>
      </c>
      <c r="D8295" s="8" t="str">
        <f>"9783737601351"</f>
        <v>9783737601351</v>
      </c>
    </row>
    <row r="8296" spans="1:4" x14ac:dyDescent="0.25">
      <c r="A8296" s="7" t="s">
        <v>887</v>
      </c>
      <c r="B8296" s="8" t="s">
        <v>888</v>
      </c>
      <c r="C8296" s="8" t="s">
        <v>316</v>
      </c>
      <c r="D8296" s="8" t="str">
        <f>"9783110353587"</f>
        <v>9783110353587</v>
      </c>
    </row>
    <row r="8297" spans="1:4" x14ac:dyDescent="0.25">
      <c r="A8297" s="7" t="s">
        <v>11741</v>
      </c>
      <c r="B8297" s="8" t="s">
        <v>11742</v>
      </c>
      <c r="C8297" s="8" t="s">
        <v>355</v>
      </c>
      <c r="D8297" s="8" t="str">
        <f>"9783110725018"</f>
        <v>9783110725018</v>
      </c>
    </row>
    <row r="8298" spans="1:4" x14ac:dyDescent="0.25">
      <c r="A8298" s="7" t="s">
        <v>2675</v>
      </c>
      <c r="B8298" s="8" t="s">
        <v>2676</v>
      </c>
      <c r="C8298" s="8" t="s">
        <v>1879</v>
      </c>
      <c r="D8298" s="8" t="str">
        <f>"9781783742158"</f>
        <v>9781783742158</v>
      </c>
    </row>
    <row r="8299" spans="1:4" ht="30" x14ac:dyDescent="0.25">
      <c r="A8299" s="7" t="s">
        <v>10540</v>
      </c>
      <c r="B8299" s="8" t="s">
        <v>10541</v>
      </c>
      <c r="C8299" s="8" t="s">
        <v>993</v>
      </c>
      <c r="D8299" s="8" t="str">
        <f>"9783839459324"</f>
        <v>9783839459324</v>
      </c>
    </row>
    <row r="8300" spans="1:4" x14ac:dyDescent="0.25">
      <c r="A8300" s="7" t="s">
        <v>9981</v>
      </c>
      <c r="B8300" s="8" t="s">
        <v>9982</v>
      </c>
      <c r="C8300" s="8" t="s">
        <v>993</v>
      </c>
      <c r="D8300" s="8" t="str">
        <f>"9783839409343"</f>
        <v>9783839409343</v>
      </c>
    </row>
    <row r="8301" spans="1:4" ht="45" x14ac:dyDescent="0.25">
      <c r="A8301" s="7" t="s">
        <v>13204</v>
      </c>
      <c r="B8301" s="8" t="s">
        <v>13072</v>
      </c>
      <c r="C8301" s="8" t="s">
        <v>12712</v>
      </c>
      <c r="D8301" s="8" t="str">
        <f>"9783428573660"</f>
        <v>9783428573660</v>
      </c>
    </row>
    <row r="8302" spans="1:4" ht="45" x14ac:dyDescent="0.25">
      <c r="A8302" s="7" t="s">
        <v>13217</v>
      </c>
      <c r="B8302" s="8" t="s">
        <v>13072</v>
      </c>
      <c r="C8302" s="8" t="s">
        <v>12712</v>
      </c>
      <c r="D8302" s="8" t="str">
        <f>"9783428573752"</f>
        <v>9783428573752</v>
      </c>
    </row>
    <row r="8303" spans="1:4" ht="45" x14ac:dyDescent="0.25">
      <c r="A8303" s="7" t="s">
        <v>13216</v>
      </c>
      <c r="B8303" s="8" t="s">
        <v>13072</v>
      </c>
      <c r="C8303" s="8" t="s">
        <v>12712</v>
      </c>
      <c r="D8303" s="8" t="str">
        <f>"9783428573769"</f>
        <v>9783428573769</v>
      </c>
    </row>
    <row r="8304" spans="1:4" ht="45" x14ac:dyDescent="0.25">
      <c r="A8304" s="7" t="s">
        <v>13218</v>
      </c>
      <c r="B8304" s="8" t="s">
        <v>13072</v>
      </c>
      <c r="C8304" s="8" t="s">
        <v>12712</v>
      </c>
      <c r="D8304" s="8" t="str">
        <f>"9783428573776"</f>
        <v>9783428573776</v>
      </c>
    </row>
    <row r="8305" spans="1:4" ht="45" x14ac:dyDescent="0.25">
      <c r="A8305" s="7" t="s">
        <v>13213</v>
      </c>
      <c r="B8305" s="8" t="s">
        <v>13072</v>
      </c>
      <c r="C8305" s="8" t="s">
        <v>12712</v>
      </c>
      <c r="D8305" s="8" t="str">
        <f>"9783428573721"</f>
        <v>9783428573721</v>
      </c>
    </row>
    <row r="8306" spans="1:4" ht="45" x14ac:dyDescent="0.25">
      <c r="A8306" s="7" t="s">
        <v>13210</v>
      </c>
      <c r="B8306" s="8" t="s">
        <v>13072</v>
      </c>
      <c r="C8306" s="8" t="s">
        <v>12712</v>
      </c>
      <c r="D8306" s="8" t="str">
        <f>"9783428573707"</f>
        <v>9783428573707</v>
      </c>
    </row>
    <row r="8307" spans="1:4" ht="45" x14ac:dyDescent="0.25">
      <c r="A8307" s="7" t="s">
        <v>13215</v>
      </c>
      <c r="B8307" s="8" t="s">
        <v>13072</v>
      </c>
      <c r="C8307" s="8" t="s">
        <v>12712</v>
      </c>
      <c r="D8307" s="8" t="str">
        <f>"9783428573745"</f>
        <v>9783428573745</v>
      </c>
    </row>
    <row r="8308" spans="1:4" ht="45" x14ac:dyDescent="0.25">
      <c r="A8308" s="7" t="s">
        <v>13214</v>
      </c>
      <c r="B8308" s="8" t="s">
        <v>13072</v>
      </c>
      <c r="C8308" s="8" t="s">
        <v>12712</v>
      </c>
      <c r="D8308" s="8" t="str">
        <f>"9783428573738"</f>
        <v>9783428573738</v>
      </c>
    </row>
    <row r="8309" spans="1:4" ht="45" x14ac:dyDescent="0.25">
      <c r="A8309" s="7" t="s">
        <v>13211</v>
      </c>
      <c r="B8309" s="8" t="s">
        <v>13212</v>
      </c>
      <c r="C8309" s="8" t="s">
        <v>12712</v>
      </c>
      <c r="D8309" s="8" t="str">
        <f>"9783428573714"</f>
        <v>9783428573714</v>
      </c>
    </row>
    <row r="8310" spans="1:4" ht="45" x14ac:dyDescent="0.25">
      <c r="A8310" s="7" t="s">
        <v>13205</v>
      </c>
      <c r="B8310" s="8" t="s">
        <v>13072</v>
      </c>
      <c r="C8310" s="8" t="s">
        <v>12712</v>
      </c>
      <c r="D8310" s="8" t="str">
        <f>"9783428573677"</f>
        <v>9783428573677</v>
      </c>
    </row>
    <row r="8311" spans="1:4" ht="45" x14ac:dyDescent="0.25">
      <c r="A8311" s="7" t="s">
        <v>1148</v>
      </c>
      <c r="B8311" s="8" t="s">
        <v>1149</v>
      </c>
      <c r="C8311" s="8" t="s">
        <v>316</v>
      </c>
      <c r="D8311" s="8" t="str">
        <f>"9783110892024"</f>
        <v>9783110892024</v>
      </c>
    </row>
    <row r="8312" spans="1:4" ht="30" x14ac:dyDescent="0.25">
      <c r="A8312" s="7" t="s">
        <v>1783</v>
      </c>
      <c r="B8312" s="8" t="s">
        <v>1784</v>
      </c>
      <c r="C8312" s="8" t="s">
        <v>1345</v>
      </c>
      <c r="D8312" s="8" t="str">
        <f>"9783862197996"</f>
        <v>9783862197996</v>
      </c>
    </row>
    <row r="8313" spans="1:4" ht="60" x14ac:dyDescent="0.25">
      <c r="A8313" s="7" t="s">
        <v>1091</v>
      </c>
      <c r="B8313" s="8" t="s">
        <v>1092</v>
      </c>
      <c r="C8313" s="8" t="s">
        <v>316</v>
      </c>
      <c r="D8313" s="8" t="str">
        <f>"9783110898743"</f>
        <v>9783110898743</v>
      </c>
    </row>
    <row r="8314" spans="1:4" ht="45" x14ac:dyDescent="0.25">
      <c r="A8314" s="7" t="s">
        <v>1135</v>
      </c>
      <c r="B8314" s="8" t="s">
        <v>24</v>
      </c>
      <c r="C8314" s="8" t="s">
        <v>316</v>
      </c>
      <c r="D8314" s="8" t="str">
        <f>"9783110880489"</f>
        <v>9783110880489</v>
      </c>
    </row>
    <row r="8315" spans="1:4" ht="30" x14ac:dyDescent="0.25">
      <c r="A8315" s="7" t="s">
        <v>7206</v>
      </c>
      <c r="B8315" s="8" t="s">
        <v>7207</v>
      </c>
      <c r="C8315" s="8" t="s">
        <v>355</v>
      </c>
      <c r="D8315" s="8" t="str">
        <f>"9783110637502"</f>
        <v>9783110637502</v>
      </c>
    </row>
    <row r="8316" spans="1:4" x14ac:dyDescent="0.25">
      <c r="A8316" s="7" t="s">
        <v>10754</v>
      </c>
      <c r="B8316" s="8" t="s">
        <v>10755</v>
      </c>
      <c r="C8316" s="8" t="s">
        <v>1876</v>
      </c>
      <c r="D8316" s="8" t="str">
        <f>"9781921867217"</f>
        <v>9781921867217</v>
      </c>
    </row>
    <row r="8317" spans="1:4" x14ac:dyDescent="0.25">
      <c r="A8317" s="7" t="s">
        <v>10766</v>
      </c>
      <c r="B8317" s="8" t="s">
        <v>10767</v>
      </c>
      <c r="C8317" s="8" t="s">
        <v>1876</v>
      </c>
      <c r="D8317" s="8" t="str">
        <f>"9781921867538"</f>
        <v>9781921867538</v>
      </c>
    </row>
    <row r="8318" spans="1:4" x14ac:dyDescent="0.25">
      <c r="A8318" s="7" t="s">
        <v>10778</v>
      </c>
      <c r="B8318" s="8" t="s">
        <v>10779</v>
      </c>
      <c r="C8318" s="8" t="s">
        <v>1876</v>
      </c>
      <c r="D8318" s="8" t="str">
        <f>"9781922235237"</f>
        <v>9781922235237</v>
      </c>
    </row>
    <row r="8319" spans="1:4" ht="45" x14ac:dyDescent="0.25">
      <c r="A8319" s="7" t="s">
        <v>1198</v>
      </c>
      <c r="B8319" s="8" t="s">
        <v>797</v>
      </c>
      <c r="C8319" s="8" t="s">
        <v>355</v>
      </c>
      <c r="D8319" s="8" t="str">
        <f>"9783486851502"</f>
        <v>9783486851502</v>
      </c>
    </row>
    <row r="8320" spans="1:4" ht="30" x14ac:dyDescent="0.25">
      <c r="A8320" s="7" t="s">
        <v>11860</v>
      </c>
      <c r="B8320" s="8" t="s">
        <v>11861</v>
      </c>
      <c r="C8320" s="8" t="s">
        <v>355</v>
      </c>
      <c r="D8320" s="8" t="str">
        <f>"9783110727845"</f>
        <v>9783110727845</v>
      </c>
    </row>
    <row r="8321" spans="1:4" x14ac:dyDescent="0.25">
      <c r="A8321" s="7" t="s">
        <v>2206</v>
      </c>
      <c r="B8321" s="8" t="s">
        <v>2207</v>
      </c>
      <c r="C8321" s="8" t="s">
        <v>355</v>
      </c>
      <c r="D8321" s="8" t="str">
        <f>"9783110426427"</f>
        <v>9783110426427</v>
      </c>
    </row>
    <row r="8322" spans="1:4" ht="30" x14ac:dyDescent="0.25">
      <c r="A8322" s="7" t="s">
        <v>2109</v>
      </c>
      <c r="B8322" s="8" t="s">
        <v>2110</v>
      </c>
      <c r="C8322" s="8" t="s">
        <v>1345</v>
      </c>
      <c r="D8322" s="8" t="str">
        <f>"9783862199570"</f>
        <v>9783862199570</v>
      </c>
    </row>
    <row r="8323" spans="1:4" ht="30" x14ac:dyDescent="0.25">
      <c r="A8323" s="7" t="s">
        <v>6039</v>
      </c>
      <c r="B8323" s="8" t="s">
        <v>6040</v>
      </c>
      <c r="C8323" s="8" t="s">
        <v>5086</v>
      </c>
      <c r="D8323" s="8" t="str">
        <f>"9783658089658"</f>
        <v>9783658089658</v>
      </c>
    </row>
    <row r="8324" spans="1:4" ht="30" x14ac:dyDescent="0.25">
      <c r="A8324" s="7" t="s">
        <v>10165</v>
      </c>
      <c r="B8324" s="8" t="s">
        <v>149</v>
      </c>
      <c r="C8324" s="8" t="s">
        <v>993</v>
      </c>
      <c r="D8324" s="8" t="str">
        <f>"9783839442067"</f>
        <v>9783839442067</v>
      </c>
    </row>
    <row r="8325" spans="1:4" ht="75" x14ac:dyDescent="0.25">
      <c r="A8325" s="7" t="s">
        <v>13141</v>
      </c>
      <c r="B8325" s="8" t="s">
        <v>13072</v>
      </c>
      <c r="C8325" s="8" t="s">
        <v>12712</v>
      </c>
      <c r="D8325" s="8" t="str">
        <f>"9783428573059"</f>
        <v>9783428573059</v>
      </c>
    </row>
    <row r="8326" spans="1:4" ht="75" x14ac:dyDescent="0.25">
      <c r="A8326" s="7" t="s">
        <v>13161</v>
      </c>
      <c r="B8326" s="8" t="s">
        <v>13072</v>
      </c>
      <c r="C8326" s="8" t="s">
        <v>12712</v>
      </c>
      <c r="D8326" s="8" t="str">
        <f>"9783428573233"</f>
        <v>9783428573233</v>
      </c>
    </row>
    <row r="8327" spans="1:4" ht="90" x14ac:dyDescent="0.25">
      <c r="A8327" s="7" t="s">
        <v>13111</v>
      </c>
      <c r="B8327" s="8" t="s">
        <v>13072</v>
      </c>
      <c r="C8327" s="8" t="s">
        <v>12712</v>
      </c>
      <c r="D8327" s="8" t="str">
        <f>"9783428572809"</f>
        <v>9783428572809</v>
      </c>
    </row>
    <row r="8328" spans="1:4" ht="75" x14ac:dyDescent="0.25">
      <c r="A8328" s="7" t="s">
        <v>13173</v>
      </c>
      <c r="B8328" s="8" t="s">
        <v>13072</v>
      </c>
      <c r="C8328" s="8" t="s">
        <v>12712</v>
      </c>
      <c r="D8328" s="8" t="str">
        <f>"9783428573356"</f>
        <v>9783428573356</v>
      </c>
    </row>
    <row r="8329" spans="1:4" ht="75" x14ac:dyDescent="0.25">
      <c r="A8329" s="7" t="s">
        <v>13127</v>
      </c>
      <c r="B8329" s="8" t="s">
        <v>13072</v>
      </c>
      <c r="C8329" s="8" t="s">
        <v>12712</v>
      </c>
      <c r="D8329" s="8" t="str">
        <f>"9783428572946"</f>
        <v>9783428572946</v>
      </c>
    </row>
    <row r="8330" spans="1:4" ht="60" x14ac:dyDescent="0.25">
      <c r="A8330" s="7" t="s">
        <v>13145</v>
      </c>
      <c r="B8330" s="8" t="s">
        <v>13072</v>
      </c>
      <c r="C8330" s="8" t="s">
        <v>12712</v>
      </c>
      <c r="D8330" s="8" t="str">
        <f>"9783428573080"</f>
        <v>9783428573080</v>
      </c>
    </row>
    <row r="8331" spans="1:4" ht="90" x14ac:dyDescent="0.25">
      <c r="A8331" s="7" t="s">
        <v>13105</v>
      </c>
      <c r="B8331" s="8" t="s">
        <v>13072</v>
      </c>
      <c r="C8331" s="8" t="s">
        <v>12712</v>
      </c>
      <c r="D8331" s="8" t="str">
        <f>"9783428572755"</f>
        <v>9783428572755</v>
      </c>
    </row>
    <row r="8332" spans="1:4" ht="45" x14ac:dyDescent="0.25">
      <c r="A8332" s="7" t="s">
        <v>13096</v>
      </c>
      <c r="B8332" s="8"/>
      <c r="C8332" s="8"/>
      <c r="D8332" s="8"/>
    </row>
    <row r="8333" spans="1:4" ht="45" x14ac:dyDescent="0.25">
      <c r="A8333" s="7" t="s">
        <v>13083</v>
      </c>
      <c r="B8333" s="8" t="s">
        <v>13072</v>
      </c>
      <c r="C8333" s="8" t="s">
        <v>12712</v>
      </c>
      <c r="D8333" s="8" t="str">
        <f>"9783428572588"</f>
        <v>9783428572588</v>
      </c>
    </row>
    <row r="8334" spans="1:4" ht="45" x14ac:dyDescent="0.25">
      <c r="A8334" s="7" t="s">
        <v>13086</v>
      </c>
      <c r="B8334" s="8" t="s">
        <v>13072</v>
      </c>
      <c r="C8334" s="8" t="s">
        <v>12712</v>
      </c>
      <c r="D8334" s="8" t="str">
        <f>"9783428572618"</f>
        <v>9783428572618</v>
      </c>
    </row>
    <row r="8335" spans="1:4" ht="60" x14ac:dyDescent="0.25">
      <c r="A8335" s="7" t="s">
        <v>13088</v>
      </c>
      <c r="B8335" s="8" t="s">
        <v>13072</v>
      </c>
      <c r="C8335" s="8" t="s">
        <v>12712</v>
      </c>
      <c r="D8335" s="8" t="str">
        <f>"9783428572632"</f>
        <v>9783428572632</v>
      </c>
    </row>
    <row r="8336" spans="1:4" ht="45" x14ac:dyDescent="0.25">
      <c r="A8336" s="7" t="s">
        <v>13081</v>
      </c>
      <c r="B8336" s="8" t="s">
        <v>13072</v>
      </c>
      <c r="C8336" s="8" t="s">
        <v>12712</v>
      </c>
      <c r="D8336" s="8" t="str">
        <f>"9783428572564"</f>
        <v>9783428572564</v>
      </c>
    </row>
    <row r="8337" spans="1:4" ht="45" x14ac:dyDescent="0.25">
      <c r="A8337" s="7" t="s">
        <v>13075</v>
      </c>
      <c r="B8337" s="8" t="s">
        <v>13072</v>
      </c>
      <c r="C8337" s="8" t="s">
        <v>12712</v>
      </c>
      <c r="D8337" s="8" t="str">
        <f>"9783428572519"</f>
        <v>9783428572519</v>
      </c>
    </row>
    <row r="8338" spans="1:4" ht="75" x14ac:dyDescent="0.25">
      <c r="A8338" s="7" t="s">
        <v>13221</v>
      </c>
      <c r="B8338" s="8" t="s">
        <v>13072</v>
      </c>
      <c r="C8338" s="8" t="s">
        <v>12712</v>
      </c>
      <c r="D8338" s="8" t="str">
        <f>"9783428573790"</f>
        <v>9783428573790</v>
      </c>
    </row>
    <row r="8339" spans="1:4" ht="75" x14ac:dyDescent="0.25">
      <c r="A8339" s="7" t="s">
        <v>13203</v>
      </c>
      <c r="B8339" s="8" t="s">
        <v>13072</v>
      </c>
      <c r="C8339" s="8" t="s">
        <v>12712</v>
      </c>
      <c r="D8339" s="8" t="str">
        <f>"9783428573653"</f>
        <v>9783428573653</v>
      </c>
    </row>
    <row r="8340" spans="1:4" ht="75" x14ac:dyDescent="0.25">
      <c r="A8340" s="7" t="s">
        <v>13199</v>
      </c>
      <c r="B8340" s="8" t="s">
        <v>13072</v>
      </c>
      <c r="C8340" s="8" t="s">
        <v>12712</v>
      </c>
      <c r="D8340" s="8" t="str">
        <f>"9783428573615"</f>
        <v>9783428573615</v>
      </c>
    </row>
    <row r="8341" spans="1:4" ht="60" x14ac:dyDescent="0.25">
      <c r="A8341" s="7" t="s">
        <v>13183</v>
      </c>
      <c r="B8341" s="8" t="s">
        <v>13072</v>
      </c>
      <c r="C8341" s="8" t="s">
        <v>12712</v>
      </c>
      <c r="D8341" s="8" t="str">
        <f>"9783428573455"</f>
        <v>9783428573455</v>
      </c>
    </row>
    <row r="8342" spans="1:4" ht="60" x14ac:dyDescent="0.25">
      <c r="A8342" s="7" t="s">
        <v>13325</v>
      </c>
      <c r="B8342" s="8" t="s">
        <v>13072</v>
      </c>
      <c r="C8342" s="8" t="s">
        <v>12712</v>
      </c>
      <c r="D8342" s="8" t="str">
        <f>"9783428574834"</f>
        <v>9783428574834</v>
      </c>
    </row>
    <row r="8343" spans="1:4" ht="60" x14ac:dyDescent="0.25">
      <c r="A8343" s="7" t="s">
        <v>13260</v>
      </c>
      <c r="B8343" s="8" t="s">
        <v>13072</v>
      </c>
      <c r="C8343" s="8" t="s">
        <v>12712</v>
      </c>
      <c r="D8343" s="8" t="str">
        <f>"9783428574254"</f>
        <v>9783428574254</v>
      </c>
    </row>
    <row r="8344" spans="1:4" ht="75" x14ac:dyDescent="0.25">
      <c r="A8344" s="7" t="s">
        <v>13322</v>
      </c>
      <c r="B8344" s="8" t="s">
        <v>13072</v>
      </c>
      <c r="C8344" s="8" t="s">
        <v>12712</v>
      </c>
      <c r="D8344" s="8" t="str">
        <f>"9783428574810"</f>
        <v>9783428574810</v>
      </c>
    </row>
    <row r="8345" spans="1:4" x14ac:dyDescent="0.25">
      <c r="A8345" s="7" t="s">
        <v>10550</v>
      </c>
      <c r="B8345" s="8" t="s">
        <v>6496</v>
      </c>
      <c r="C8345" s="8" t="s">
        <v>993</v>
      </c>
      <c r="D8345" s="8" t="str">
        <f>"9783839459652"</f>
        <v>9783839459652</v>
      </c>
    </row>
    <row r="8346" spans="1:4" x14ac:dyDescent="0.25">
      <c r="A8346" s="7" t="s">
        <v>1699</v>
      </c>
      <c r="B8346" s="8" t="s">
        <v>1700</v>
      </c>
      <c r="C8346" s="8" t="s">
        <v>1345</v>
      </c>
      <c r="D8346" s="8" t="str">
        <f>"9783862194193"</f>
        <v>9783862194193</v>
      </c>
    </row>
    <row r="8347" spans="1:4" ht="30" x14ac:dyDescent="0.25">
      <c r="A8347" s="7" t="s">
        <v>13041</v>
      </c>
      <c r="B8347" s="8" t="s">
        <v>13042</v>
      </c>
      <c r="C8347" s="8" t="s">
        <v>12712</v>
      </c>
      <c r="D8347" s="8" t="str">
        <f>"9783428486052"</f>
        <v>9783428486052</v>
      </c>
    </row>
    <row r="8348" spans="1:4" x14ac:dyDescent="0.25">
      <c r="A8348" s="7" t="s">
        <v>1649</v>
      </c>
      <c r="B8348" s="8" t="s">
        <v>39</v>
      </c>
      <c r="C8348" s="8" t="s">
        <v>1345</v>
      </c>
      <c r="D8348" s="8" t="str">
        <f>"9783862196036"</f>
        <v>9783862196036</v>
      </c>
    </row>
    <row r="8349" spans="1:4" ht="30" x14ac:dyDescent="0.25">
      <c r="A8349" s="7" t="s">
        <v>12255</v>
      </c>
      <c r="B8349" s="8" t="s">
        <v>12256</v>
      </c>
      <c r="C8349" s="8" t="s">
        <v>993</v>
      </c>
      <c r="D8349" s="8" t="str">
        <f>"9783839453353"</f>
        <v>9783839453353</v>
      </c>
    </row>
    <row r="8350" spans="1:4" ht="30" x14ac:dyDescent="0.25">
      <c r="A8350" s="7" t="s">
        <v>11221</v>
      </c>
      <c r="B8350" s="8" t="s">
        <v>11222</v>
      </c>
      <c r="C8350" s="8" t="s">
        <v>355</v>
      </c>
      <c r="D8350" s="8" t="str">
        <f>"9783110476958"</f>
        <v>9783110476958</v>
      </c>
    </row>
    <row r="8351" spans="1:4" ht="30" x14ac:dyDescent="0.25">
      <c r="A8351" s="7" t="s">
        <v>10339</v>
      </c>
      <c r="B8351" s="8" t="s">
        <v>164</v>
      </c>
      <c r="C8351" s="8" t="s">
        <v>993</v>
      </c>
      <c r="D8351" s="8" t="str">
        <f>"9783839449738"</f>
        <v>9783839449738</v>
      </c>
    </row>
    <row r="8352" spans="1:4" ht="30" x14ac:dyDescent="0.25">
      <c r="A8352" s="7" t="s">
        <v>10059</v>
      </c>
      <c r="B8352" s="8" t="s">
        <v>10060</v>
      </c>
      <c r="C8352" s="8" t="s">
        <v>993</v>
      </c>
      <c r="D8352" s="8" t="str">
        <f>"9783839412442"</f>
        <v>9783839412442</v>
      </c>
    </row>
    <row r="8353" spans="1:4" ht="30" x14ac:dyDescent="0.25">
      <c r="A8353" s="7" t="s">
        <v>1006</v>
      </c>
      <c r="B8353" s="8" t="s">
        <v>1007</v>
      </c>
      <c r="C8353" s="8" t="s">
        <v>993</v>
      </c>
      <c r="D8353" s="8" t="str">
        <f>"9783839418260"</f>
        <v>9783839418260</v>
      </c>
    </row>
    <row r="8354" spans="1:4" x14ac:dyDescent="0.25">
      <c r="A8354" s="7" t="s">
        <v>5693</v>
      </c>
      <c r="B8354" s="8" t="s">
        <v>5694</v>
      </c>
      <c r="C8354" s="8" t="s">
        <v>5086</v>
      </c>
      <c r="D8354" s="8" t="str">
        <f>"9783658093778"</f>
        <v>9783658093778</v>
      </c>
    </row>
    <row r="8355" spans="1:4" x14ac:dyDescent="0.25">
      <c r="A8355" s="7" t="s">
        <v>8351</v>
      </c>
      <c r="B8355" s="8" t="s">
        <v>8352</v>
      </c>
      <c r="C8355" s="8" t="s">
        <v>993</v>
      </c>
      <c r="D8355" s="8" t="str">
        <f>"9783839453858"</f>
        <v>9783839453858</v>
      </c>
    </row>
    <row r="8356" spans="1:4" ht="30" x14ac:dyDescent="0.25">
      <c r="A8356" s="7" t="s">
        <v>10935</v>
      </c>
      <c r="B8356" s="8" t="s">
        <v>10936</v>
      </c>
      <c r="C8356" s="8" t="s">
        <v>355</v>
      </c>
      <c r="D8356" s="8" t="str">
        <f>"9783110557862"</f>
        <v>9783110557862</v>
      </c>
    </row>
    <row r="8357" spans="1:4" ht="30" x14ac:dyDescent="0.25">
      <c r="A8357" s="7" t="s">
        <v>9819</v>
      </c>
      <c r="B8357" s="8" t="s">
        <v>9820</v>
      </c>
      <c r="C8357" s="8" t="s">
        <v>993</v>
      </c>
      <c r="D8357" s="8" t="str">
        <f>"9783839405284"</f>
        <v>9783839405284</v>
      </c>
    </row>
    <row r="8358" spans="1:4" x14ac:dyDescent="0.25">
      <c r="A8358" s="7" t="s">
        <v>2373</v>
      </c>
      <c r="B8358" s="8" t="s">
        <v>2374</v>
      </c>
      <c r="C8358" s="8" t="s">
        <v>1879</v>
      </c>
      <c r="D8358" s="8" t="str">
        <f>"9781783741748"</f>
        <v>9781783741748</v>
      </c>
    </row>
    <row r="8359" spans="1:4" x14ac:dyDescent="0.25">
      <c r="A8359" s="7" t="s">
        <v>2969</v>
      </c>
      <c r="B8359" s="8" t="s">
        <v>2374</v>
      </c>
      <c r="C8359" s="8" t="s">
        <v>1879</v>
      </c>
      <c r="D8359" s="8" t="str">
        <f>"9781783742554"</f>
        <v>9781783742554</v>
      </c>
    </row>
    <row r="8360" spans="1:4" x14ac:dyDescent="0.25">
      <c r="A8360" s="7" t="s">
        <v>3482</v>
      </c>
      <c r="B8360" s="8" t="s">
        <v>2374</v>
      </c>
      <c r="C8360" s="8" t="s">
        <v>1879</v>
      </c>
      <c r="D8360" s="8" t="str">
        <f>"9781783743605"</f>
        <v>9781783743605</v>
      </c>
    </row>
    <row r="8361" spans="1:4" ht="45" x14ac:dyDescent="0.25">
      <c r="A8361" s="7" t="s">
        <v>1106</v>
      </c>
      <c r="B8361" s="8" t="s">
        <v>19</v>
      </c>
      <c r="C8361" s="8" t="s">
        <v>316</v>
      </c>
      <c r="D8361" s="8" t="str">
        <f>"9783110908831"</f>
        <v>9783110908831</v>
      </c>
    </row>
    <row r="8362" spans="1:4" ht="30" x14ac:dyDescent="0.25">
      <c r="A8362" s="7" t="s">
        <v>12558</v>
      </c>
      <c r="B8362" s="8" t="s">
        <v>12559</v>
      </c>
      <c r="C8362" s="8" t="s">
        <v>5086</v>
      </c>
      <c r="D8362" s="8" t="str">
        <f>"9783658389581"</f>
        <v>9783658389581</v>
      </c>
    </row>
    <row r="8363" spans="1:4" x14ac:dyDescent="0.25">
      <c r="A8363" s="7" t="s">
        <v>5030</v>
      </c>
      <c r="B8363" s="8" t="s">
        <v>5031</v>
      </c>
      <c r="C8363" s="8" t="s">
        <v>355</v>
      </c>
      <c r="D8363" s="8" t="str">
        <f>"9783110656220"</f>
        <v>9783110656220</v>
      </c>
    </row>
    <row r="8364" spans="1:4" x14ac:dyDescent="0.25">
      <c r="A8364" s="7" t="s">
        <v>10125</v>
      </c>
      <c r="B8364" s="8" t="s">
        <v>3313</v>
      </c>
      <c r="C8364" s="8" t="s">
        <v>993</v>
      </c>
      <c r="D8364" s="8" t="str">
        <f>"9783839436516"</f>
        <v>9783839436516</v>
      </c>
    </row>
    <row r="8365" spans="1:4" x14ac:dyDescent="0.25">
      <c r="A8365" s="7" t="s">
        <v>11116</v>
      </c>
      <c r="B8365" s="8" t="s">
        <v>11117</v>
      </c>
      <c r="C8365" s="8" t="s">
        <v>2082</v>
      </c>
      <c r="D8365" s="8" t="str">
        <f>"9780472900794"</f>
        <v>9780472900794</v>
      </c>
    </row>
    <row r="8366" spans="1:4" x14ac:dyDescent="0.25">
      <c r="A8366" s="7" t="s">
        <v>2238</v>
      </c>
      <c r="B8366" s="8" t="s">
        <v>2239</v>
      </c>
      <c r="C8366" s="8" t="s">
        <v>355</v>
      </c>
      <c r="D8366" s="8" t="str">
        <f>"9783110403732"</f>
        <v>9783110403732</v>
      </c>
    </row>
    <row r="8367" spans="1:4" ht="30" x14ac:dyDescent="0.25">
      <c r="A8367" s="7" t="s">
        <v>2508</v>
      </c>
      <c r="B8367" s="8" t="s">
        <v>2509</v>
      </c>
      <c r="C8367" s="8" t="s">
        <v>1865</v>
      </c>
      <c r="D8367" s="8" t="str">
        <f>"9789176859117"</f>
        <v>9789176859117</v>
      </c>
    </row>
    <row r="8368" spans="1:4" x14ac:dyDescent="0.25">
      <c r="A8368" s="7" t="s">
        <v>2878</v>
      </c>
      <c r="B8368" s="8" t="s">
        <v>2879</v>
      </c>
      <c r="C8368" s="8" t="s">
        <v>1865</v>
      </c>
      <c r="D8368" s="8" t="str">
        <f>"9789176856871"</f>
        <v>9789176856871</v>
      </c>
    </row>
    <row r="8369" spans="1:4" x14ac:dyDescent="0.25">
      <c r="A8369" s="7" t="s">
        <v>9070</v>
      </c>
      <c r="B8369" s="8" t="s">
        <v>9071</v>
      </c>
      <c r="C8369" s="8" t="s">
        <v>2082</v>
      </c>
      <c r="D8369" s="8" t="str">
        <f>"9780472902590"</f>
        <v>9780472902590</v>
      </c>
    </row>
    <row r="8370" spans="1:4" ht="30" x14ac:dyDescent="0.25">
      <c r="A8370" s="7" t="s">
        <v>1807</v>
      </c>
      <c r="B8370" s="8" t="s">
        <v>1808</v>
      </c>
      <c r="C8370" s="8" t="s">
        <v>1345</v>
      </c>
      <c r="D8370" s="8" t="str">
        <f>"9783862196951"</f>
        <v>9783862196951</v>
      </c>
    </row>
    <row r="8371" spans="1:4" x14ac:dyDescent="0.25">
      <c r="A8371" s="7" t="s">
        <v>2174</v>
      </c>
      <c r="B8371" s="8" t="s">
        <v>2175</v>
      </c>
      <c r="C8371" s="8" t="s">
        <v>2168</v>
      </c>
      <c r="D8371" s="8" t="str">
        <f>"9780295802268"</f>
        <v>9780295802268</v>
      </c>
    </row>
    <row r="8372" spans="1:4" x14ac:dyDescent="0.25">
      <c r="A8372" s="7" t="s">
        <v>3648</v>
      </c>
      <c r="B8372" s="8" t="s">
        <v>3649</v>
      </c>
      <c r="C8372" s="8" t="s">
        <v>1865</v>
      </c>
      <c r="D8372" s="8" t="str">
        <f>"9789176852989"</f>
        <v>9789176852989</v>
      </c>
    </row>
    <row r="8373" spans="1:4" x14ac:dyDescent="0.25">
      <c r="A8373" s="7" t="s">
        <v>7887</v>
      </c>
      <c r="B8373" s="8" t="s">
        <v>7888</v>
      </c>
      <c r="C8373" s="8" t="s">
        <v>2273</v>
      </c>
      <c r="D8373" s="8" t="str">
        <f>"9783030744946"</f>
        <v>9783030744946</v>
      </c>
    </row>
    <row r="8374" spans="1:4" x14ac:dyDescent="0.25">
      <c r="A8374" s="7" t="s">
        <v>15592</v>
      </c>
      <c r="B8374" s="8" t="s">
        <v>15593</v>
      </c>
      <c r="C8374" s="8" t="s">
        <v>1865</v>
      </c>
      <c r="D8374" s="8" t="str">
        <f>"9789175199054"</f>
        <v>9789175199054</v>
      </c>
    </row>
    <row r="8375" spans="1:4" ht="30" x14ac:dyDescent="0.25">
      <c r="A8375" s="7" t="s">
        <v>4304</v>
      </c>
      <c r="B8375" s="8" t="s">
        <v>1907</v>
      </c>
      <c r="C8375" s="8" t="s">
        <v>1879</v>
      </c>
      <c r="D8375" s="8" t="str">
        <f>"9781783746026"</f>
        <v>9781783746026</v>
      </c>
    </row>
    <row r="8376" spans="1:4" x14ac:dyDescent="0.25">
      <c r="A8376" s="7" t="s">
        <v>1927</v>
      </c>
      <c r="B8376" s="8" t="s">
        <v>1907</v>
      </c>
      <c r="C8376" s="8" t="s">
        <v>1879</v>
      </c>
      <c r="D8376" s="8" t="str">
        <f>"9781909254176"</f>
        <v>9781909254176</v>
      </c>
    </row>
    <row r="8377" spans="1:4" x14ac:dyDescent="0.25">
      <c r="A8377" s="7" t="s">
        <v>7091</v>
      </c>
      <c r="B8377" s="8" t="s">
        <v>7092</v>
      </c>
      <c r="C8377" s="8" t="s">
        <v>355</v>
      </c>
      <c r="D8377" s="8" t="str">
        <f>"9783110638127"</f>
        <v>9783110638127</v>
      </c>
    </row>
    <row r="8378" spans="1:4" x14ac:dyDescent="0.25">
      <c r="A8378" s="7" t="s">
        <v>5223</v>
      </c>
      <c r="B8378" s="8" t="s">
        <v>5224</v>
      </c>
      <c r="C8378" s="8" t="s">
        <v>562</v>
      </c>
      <c r="D8378" s="8" t="str">
        <f>"9781478012580"</f>
        <v>9781478012580</v>
      </c>
    </row>
    <row r="8379" spans="1:4" x14ac:dyDescent="0.25">
      <c r="A8379" s="7" t="s">
        <v>4407</v>
      </c>
      <c r="B8379" s="8" t="s">
        <v>4408</v>
      </c>
      <c r="C8379" s="8" t="s">
        <v>1865</v>
      </c>
      <c r="D8379" s="8" t="str">
        <f>"9789176851180"</f>
        <v>9789176851180</v>
      </c>
    </row>
    <row r="8380" spans="1:4" x14ac:dyDescent="0.25">
      <c r="A8380" s="7" t="s">
        <v>1489</v>
      </c>
      <c r="B8380" s="8" t="s">
        <v>1490</v>
      </c>
      <c r="C8380" s="8" t="s">
        <v>1345</v>
      </c>
      <c r="D8380" s="8" t="str">
        <f>"9783862194070"</f>
        <v>9783862194070</v>
      </c>
    </row>
    <row r="8381" spans="1:4" x14ac:dyDescent="0.25">
      <c r="A8381" s="7" t="s">
        <v>4685</v>
      </c>
      <c r="B8381" s="8" t="s">
        <v>4686</v>
      </c>
      <c r="C8381" s="8" t="s">
        <v>329</v>
      </c>
      <c r="D8381" s="8" t="str">
        <f>"9789048537877"</f>
        <v>9789048537877</v>
      </c>
    </row>
    <row r="8382" spans="1:4" x14ac:dyDescent="0.25">
      <c r="A8382" s="7" t="s">
        <v>7064</v>
      </c>
      <c r="B8382" s="8" t="s">
        <v>7065</v>
      </c>
      <c r="C8382" s="8" t="s">
        <v>329</v>
      </c>
      <c r="D8382" s="8" t="str">
        <f>"9789048551873"</f>
        <v>9789048551873</v>
      </c>
    </row>
    <row r="8383" spans="1:4" ht="30" x14ac:dyDescent="0.25">
      <c r="A8383" s="7" t="s">
        <v>16090</v>
      </c>
      <c r="B8383" s="8" t="s">
        <v>16091</v>
      </c>
      <c r="C8383" s="8" t="s">
        <v>1865</v>
      </c>
      <c r="D8383" s="8" t="str">
        <f>"9789175194851"</f>
        <v>9789175194851</v>
      </c>
    </row>
    <row r="8384" spans="1:4" ht="30" x14ac:dyDescent="0.25">
      <c r="A8384" s="7" t="s">
        <v>4680</v>
      </c>
      <c r="B8384" s="8" t="s">
        <v>4681</v>
      </c>
      <c r="C8384" s="8" t="s">
        <v>1865</v>
      </c>
      <c r="D8384" s="8" t="str">
        <f>"9789176850718"</f>
        <v>9789176850718</v>
      </c>
    </row>
    <row r="8385" spans="1:4" ht="30" x14ac:dyDescent="0.25">
      <c r="A8385" s="7" t="s">
        <v>7407</v>
      </c>
      <c r="B8385" s="8" t="s">
        <v>7408</v>
      </c>
      <c r="C8385" s="8" t="s">
        <v>2273</v>
      </c>
      <c r="D8385" s="8" t="str">
        <f>"9783030676087"</f>
        <v>9783030676087</v>
      </c>
    </row>
    <row r="8386" spans="1:4" x14ac:dyDescent="0.25">
      <c r="A8386" s="7" t="s">
        <v>9096</v>
      </c>
      <c r="B8386" s="8" t="s">
        <v>9097</v>
      </c>
      <c r="C8386" s="8" t="s">
        <v>1865</v>
      </c>
      <c r="D8386" s="8" t="str">
        <f>"9789179291686"</f>
        <v>9789179291686</v>
      </c>
    </row>
    <row r="8387" spans="1:4" x14ac:dyDescent="0.25">
      <c r="A8387" s="7" t="s">
        <v>6926</v>
      </c>
      <c r="B8387" s="8" t="s">
        <v>6927</v>
      </c>
      <c r="C8387" s="8" t="s">
        <v>2273</v>
      </c>
      <c r="D8387" s="8" t="str">
        <f>"9783030711436"</f>
        <v>9783030711436</v>
      </c>
    </row>
    <row r="8388" spans="1:4" ht="30" x14ac:dyDescent="0.25">
      <c r="A8388" s="7" t="s">
        <v>1318</v>
      </c>
      <c r="B8388" s="8" t="s">
        <v>1307</v>
      </c>
      <c r="C8388" s="8" t="s">
        <v>1224</v>
      </c>
      <c r="D8388" s="8" t="str">
        <f>"9781618113580"</f>
        <v>9781618113580</v>
      </c>
    </row>
    <row r="8389" spans="1:4" x14ac:dyDescent="0.25">
      <c r="A8389" s="7" t="s">
        <v>4828</v>
      </c>
      <c r="B8389" s="8" t="s">
        <v>4829</v>
      </c>
      <c r="C8389" s="8" t="s">
        <v>562</v>
      </c>
      <c r="D8389" s="8" t="str">
        <f>"9781478004387"</f>
        <v>9781478004387</v>
      </c>
    </row>
    <row r="8390" spans="1:4" ht="30" x14ac:dyDescent="0.25">
      <c r="A8390" s="7" t="s">
        <v>15295</v>
      </c>
      <c r="B8390" s="8" t="s">
        <v>15296</v>
      </c>
      <c r="C8390" s="8" t="s">
        <v>1865</v>
      </c>
      <c r="D8390" s="8" t="str">
        <f>"9789179295967"</f>
        <v>9789179295967</v>
      </c>
    </row>
    <row r="8391" spans="1:4" ht="30" x14ac:dyDescent="0.25">
      <c r="A8391" s="7" t="s">
        <v>5003</v>
      </c>
      <c r="B8391" s="8" t="s">
        <v>5004</v>
      </c>
      <c r="C8391" s="8" t="s">
        <v>355</v>
      </c>
      <c r="D8391" s="8" t="str">
        <f>"9783110642698"</f>
        <v>9783110642698</v>
      </c>
    </row>
    <row r="8392" spans="1:4" ht="30" x14ac:dyDescent="0.25">
      <c r="A8392" s="7" t="s">
        <v>11583</v>
      </c>
      <c r="B8392" s="8" t="s">
        <v>11584</v>
      </c>
      <c r="C8392" s="8" t="s">
        <v>355</v>
      </c>
      <c r="D8392" s="8" t="str">
        <f>"9783110698732"</f>
        <v>9783110698732</v>
      </c>
    </row>
    <row r="8393" spans="1:4" x14ac:dyDescent="0.25">
      <c r="A8393" s="7" t="s">
        <v>9224</v>
      </c>
      <c r="B8393" s="8" t="s">
        <v>9225</v>
      </c>
      <c r="C8393" s="8" t="s">
        <v>4882</v>
      </c>
      <c r="D8393" s="8" t="str">
        <f>"9781781384558"</f>
        <v>9781781384558</v>
      </c>
    </row>
    <row r="8394" spans="1:4" ht="30" x14ac:dyDescent="0.25">
      <c r="A8394" s="7" t="s">
        <v>14018</v>
      </c>
      <c r="B8394" s="8" t="s">
        <v>14019</v>
      </c>
      <c r="C8394" s="8" t="s">
        <v>13997</v>
      </c>
      <c r="D8394" s="8" t="str">
        <f>"9789566095217"</f>
        <v>9789566095217</v>
      </c>
    </row>
    <row r="8395" spans="1:4" x14ac:dyDescent="0.25">
      <c r="A8395" s="7" t="s">
        <v>1254</v>
      </c>
      <c r="B8395" s="8" t="s">
        <v>1255</v>
      </c>
      <c r="C8395" s="8" t="s">
        <v>1224</v>
      </c>
      <c r="D8395" s="8" t="str">
        <f>"9781618117007"</f>
        <v>9781618117007</v>
      </c>
    </row>
    <row r="8396" spans="1:4" x14ac:dyDescent="0.25">
      <c r="A8396" s="7" t="s">
        <v>14219</v>
      </c>
      <c r="B8396" s="8" t="s">
        <v>14220</v>
      </c>
      <c r="C8396" s="8" t="s">
        <v>9256</v>
      </c>
      <c r="D8396" s="8" t="str">
        <f>"9788028001391"</f>
        <v>9788028001391</v>
      </c>
    </row>
    <row r="8397" spans="1:4" x14ac:dyDescent="0.25">
      <c r="A8397" s="7" t="s">
        <v>6777</v>
      </c>
      <c r="B8397" s="8" t="s">
        <v>6778</v>
      </c>
      <c r="C8397" s="8" t="s">
        <v>1865</v>
      </c>
      <c r="D8397" s="8" t="str">
        <f>"9789179296537"</f>
        <v>9789179296537</v>
      </c>
    </row>
    <row r="8398" spans="1:4" x14ac:dyDescent="0.25">
      <c r="A8398" s="7" t="s">
        <v>11695</v>
      </c>
      <c r="B8398" s="8" t="s">
        <v>11696</v>
      </c>
      <c r="C8398" s="8" t="s">
        <v>355</v>
      </c>
      <c r="D8398" s="8" t="str">
        <f>"9783110596755"</f>
        <v>9783110596755</v>
      </c>
    </row>
    <row r="8399" spans="1:4" ht="30" x14ac:dyDescent="0.25">
      <c r="A8399" s="7" t="s">
        <v>1983</v>
      </c>
      <c r="B8399" s="8" t="s">
        <v>1984</v>
      </c>
      <c r="C8399" s="8" t="s">
        <v>1962</v>
      </c>
      <c r="D8399" s="8" t="str">
        <f>"9782759207022"</f>
        <v>9782759207022</v>
      </c>
    </row>
    <row r="8400" spans="1:4" x14ac:dyDescent="0.25">
      <c r="A8400" s="7" t="s">
        <v>14180</v>
      </c>
      <c r="B8400" s="8" t="s">
        <v>14181</v>
      </c>
      <c r="C8400" s="8" t="s">
        <v>9256</v>
      </c>
      <c r="D8400" s="8" t="str">
        <f>"9788021098299"</f>
        <v>9788021098299</v>
      </c>
    </row>
    <row r="8401" spans="1:4" x14ac:dyDescent="0.25">
      <c r="A8401" s="7" t="s">
        <v>7139</v>
      </c>
      <c r="B8401" s="8" t="s">
        <v>3714</v>
      </c>
      <c r="C8401" s="8" t="s">
        <v>355</v>
      </c>
      <c r="D8401" s="8" t="str">
        <f>"9783110606089"</f>
        <v>9783110606089</v>
      </c>
    </row>
    <row r="8402" spans="1:4" ht="30" x14ac:dyDescent="0.25">
      <c r="A8402" s="7" t="s">
        <v>12741</v>
      </c>
      <c r="B8402" s="8" t="s">
        <v>12722</v>
      </c>
      <c r="C8402" s="8" t="s">
        <v>12712</v>
      </c>
      <c r="D8402" s="8" t="str">
        <f>"9783428411870"</f>
        <v>9783428411870</v>
      </c>
    </row>
    <row r="8403" spans="1:4" x14ac:dyDescent="0.25">
      <c r="A8403" s="7" t="s">
        <v>681</v>
      </c>
      <c r="B8403" s="8" t="s">
        <v>678</v>
      </c>
      <c r="C8403" s="8" t="s">
        <v>316</v>
      </c>
      <c r="D8403" s="8" t="str">
        <f>"9783110330519"</f>
        <v>9783110330519</v>
      </c>
    </row>
    <row r="8404" spans="1:4" x14ac:dyDescent="0.25">
      <c r="A8404" s="7" t="s">
        <v>677</v>
      </c>
      <c r="B8404" s="8" t="s">
        <v>678</v>
      </c>
      <c r="C8404" s="8" t="s">
        <v>316</v>
      </c>
      <c r="D8404" s="8" t="str">
        <f>"9783110330496"</f>
        <v>9783110330496</v>
      </c>
    </row>
    <row r="8405" spans="1:4" x14ac:dyDescent="0.25">
      <c r="A8405" s="7" t="s">
        <v>12170</v>
      </c>
      <c r="B8405" s="8" t="s">
        <v>12171</v>
      </c>
      <c r="C8405" s="8" t="s">
        <v>355</v>
      </c>
      <c r="D8405" s="8" t="str">
        <f>"9783110761061"</f>
        <v>9783110761061</v>
      </c>
    </row>
    <row r="8406" spans="1:4" ht="30" x14ac:dyDescent="0.25">
      <c r="A8406" s="7" t="s">
        <v>12839</v>
      </c>
      <c r="B8406" s="8" t="s">
        <v>12840</v>
      </c>
      <c r="C8406" s="8" t="s">
        <v>12712</v>
      </c>
      <c r="D8406" s="8" t="str">
        <f>"9783428434275"</f>
        <v>9783428434275</v>
      </c>
    </row>
    <row r="8407" spans="1:4" x14ac:dyDescent="0.25">
      <c r="A8407" s="7" t="s">
        <v>7390</v>
      </c>
      <c r="B8407" s="8" t="s">
        <v>7391</v>
      </c>
      <c r="C8407" s="8" t="s">
        <v>993</v>
      </c>
      <c r="D8407" s="8" t="str">
        <f>"9783839416730"</f>
        <v>9783839416730</v>
      </c>
    </row>
    <row r="8408" spans="1:4" ht="30" x14ac:dyDescent="0.25">
      <c r="A8408" s="7" t="s">
        <v>2693</v>
      </c>
      <c r="B8408" s="8" t="s">
        <v>2694</v>
      </c>
      <c r="C8408" s="8" t="s">
        <v>993</v>
      </c>
      <c r="D8408" s="8" t="str">
        <f>"9783839434093"</f>
        <v>9783839434093</v>
      </c>
    </row>
    <row r="8409" spans="1:4" ht="30" x14ac:dyDescent="0.25">
      <c r="A8409" s="7" t="s">
        <v>10007</v>
      </c>
      <c r="B8409" s="8" t="s">
        <v>10008</v>
      </c>
      <c r="C8409" s="8" t="s">
        <v>993</v>
      </c>
      <c r="D8409" s="8" t="str">
        <f>"9783839410004"</f>
        <v>9783839410004</v>
      </c>
    </row>
    <row r="8410" spans="1:4" ht="30" x14ac:dyDescent="0.25">
      <c r="A8410" s="7" t="s">
        <v>6564</v>
      </c>
      <c r="B8410" s="8" t="s">
        <v>6565</v>
      </c>
      <c r="C8410" s="8" t="s">
        <v>5086</v>
      </c>
      <c r="D8410" s="8" t="str">
        <f>"9783658326012"</f>
        <v>9783658326012</v>
      </c>
    </row>
    <row r="8411" spans="1:4" ht="30" x14ac:dyDescent="0.25">
      <c r="A8411" s="7" t="s">
        <v>6352</v>
      </c>
      <c r="B8411" s="8" t="s">
        <v>6353</v>
      </c>
      <c r="C8411" s="8" t="s">
        <v>5086</v>
      </c>
      <c r="D8411" s="8" t="str">
        <f>"9783658324452"</f>
        <v>9783658324452</v>
      </c>
    </row>
    <row r="8412" spans="1:4" x14ac:dyDescent="0.25">
      <c r="A8412" s="7" t="s">
        <v>1631</v>
      </c>
      <c r="B8412" s="8" t="s">
        <v>1632</v>
      </c>
      <c r="C8412" s="8" t="s">
        <v>1345</v>
      </c>
      <c r="D8412" s="8" t="str">
        <f>"9783862191451"</f>
        <v>9783862191451</v>
      </c>
    </row>
    <row r="8413" spans="1:4" ht="30" x14ac:dyDescent="0.25">
      <c r="A8413" s="7" t="s">
        <v>11304</v>
      </c>
      <c r="B8413" s="8" t="s">
        <v>5002</v>
      </c>
      <c r="C8413" s="8" t="s">
        <v>355</v>
      </c>
      <c r="D8413" s="8" t="str">
        <f>"9783110703450"</f>
        <v>9783110703450</v>
      </c>
    </row>
    <row r="8414" spans="1:4" ht="30" x14ac:dyDescent="0.25">
      <c r="A8414" s="7" t="s">
        <v>9910</v>
      </c>
      <c r="B8414" s="8" t="s">
        <v>9911</v>
      </c>
      <c r="C8414" s="8" t="s">
        <v>993</v>
      </c>
      <c r="D8414" s="8" t="str">
        <f>"9783839407929"</f>
        <v>9783839407929</v>
      </c>
    </row>
    <row r="8415" spans="1:4" ht="30" x14ac:dyDescent="0.25">
      <c r="A8415" s="7" t="s">
        <v>7452</v>
      </c>
      <c r="B8415" s="8" t="s">
        <v>7453</v>
      </c>
      <c r="C8415" s="8" t="s">
        <v>993</v>
      </c>
      <c r="D8415" s="8" t="str">
        <f>"9783839434291"</f>
        <v>9783839434291</v>
      </c>
    </row>
    <row r="8416" spans="1:4" ht="30" x14ac:dyDescent="0.25">
      <c r="A8416" s="7" t="s">
        <v>11318</v>
      </c>
      <c r="B8416" s="8" t="s">
        <v>11319</v>
      </c>
      <c r="C8416" s="8" t="s">
        <v>355</v>
      </c>
      <c r="D8416" s="8" t="str">
        <f>"9783110667516"</f>
        <v>9783110667516</v>
      </c>
    </row>
    <row r="8417" spans="1:4" x14ac:dyDescent="0.25">
      <c r="A8417" s="7" t="s">
        <v>720</v>
      </c>
      <c r="B8417" s="8" t="s">
        <v>721</v>
      </c>
      <c r="C8417" s="8" t="s">
        <v>316</v>
      </c>
      <c r="D8417" s="8" t="str">
        <f>"9783110323344"</f>
        <v>9783110323344</v>
      </c>
    </row>
    <row r="8418" spans="1:4" x14ac:dyDescent="0.25">
      <c r="A8418" s="7" t="s">
        <v>11934</v>
      </c>
      <c r="B8418" s="8" t="s">
        <v>11935</v>
      </c>
      <c r="C8418" s="8" t="s">
        <v>355</v>
      </c>
      <c r="D8418" s="8" t="str">
        <f>"9783111637464"</f>
        <v>9783111637464</v>
      </c>
    </row>
    <row r="8419" spans="1:4" ht="30" x14ac:dyDescent="0.25">
      <c r="A8419" s="7" t="s">
        <v>8580</v>
      </c>
      <c r="B8419" s="8" t="s">
        <v>8581</v>
      </c>
      <c r="C8419" s="8" t="s">
        <v>5134</v>
      </c>
      <c r="D8419" s="8" t="str">
        <f>"9783662632864"</f>
        <v>9783662632864</v>
      </c>
    </row>
    <row r="8420" spans="1:4" x14ac:dyDescent="0.25">
      <c r="A8420" s="7" t="s">
        <v>3419</v>
      </c>
      <c r="B8420" s="8" t="s">
        <v>3420</v>
      </c>
      <c r="C8420" s="8" t="s">
        <v>316</v>
      </c>
      <c r="D8420" s="8" t="str">
        <f>"9783110216943"</f>
        <v>9783110216943</v>
      </c>
    </row>
    <row r="8421" spans="1:4" ht="30" x14ac:dyDescent="0.25">
      <c r="A8421" s="7" t="s">
        <v>10057</v>
      </c>
      <c r="B8421" s="8" t="s">
        <v>10058</v>
      </c>
      <c r="C8421" s="8" t="s">
        <v>993</v>
      </c>
      <c r="D8421" s="8" t="str">
        <f>"9783839412350"</f>
        <v>9783839412350</v>
      </c>
    </row>
    <row r="8422" spans="1:4" ht="30" x14ac:dyDescent="0.25">
      <c r="A8422" s="7" t="s">
        <v>9834</v>
      </c>
      <c r="B8422" s="8" t="s">
        <v>145</v>
      </c>
      <c r="C8422" s="8" t="s">
        <v>993</v>
      </c>
      <c r="D8422" s="8" t="str">
        <f>"9783839406052"</f>
        <v>9783839406052</v>
      </c>
    </row>
    <row r="8423" spans="1:4" ht="30" x14ac:dyDescent="0.25">
      <c r="A8423" s="7" t="s">
        <v>9924</v>
      </c>
      <c r="B8423" s="8" t="s">
        <v>9925</v>
      </c>
      <c r="C8423" s="8" t="s">
        <v>993</v>
      </c>
      <c r="D8423" s="8" t="str">
        <f>"9783839408193"</f>
        <v>9783839408193</v>
      </c>
    </row>
    <row r="8424" spans="1:4" ht="30" x14ac:dyDescent="0.25">
      <c r="A8424" s="7" t="s">
        <v>8398</v>
      </c>
      <c r="B8424" s="8" t="s">
        <v>8399</v>
      </c>
      <c r="C8424" s="8" t="s">
        <v>993</v>
      </c>
      <c r="D8424" s="8" t="str">
        <f>"9783839453698"</f>
        <v>9783839453698</v>
      </c>
    </row>
    <row r="8425" spans="1:4" x14ac:dyDescent="0.25">
      <c r="A8425" s="7" t="s">
        <v>9636</v>
      </c>
      <c r="B8425" s="8" t="s">
        <v>9637</v>
      </c>
      <c r="C8425" s="8" t="s">
        <v>5086</v>
      </c>
      <c r="D8425" s="8" t="str">
        <f>"9783658368081"</f>
        <v>9783658368081</v>
      </c>
    </row>
    <row r="8426" spans="1:4" ht="30" x14ac:dyDescent="0.25">
      <c r="A8426" s="7" t="s">
        <v>7786</v>
      </c>
      <c r="B8426" s="8" t="s">
        <v>7787</v>
      </c>
      <c r="C8426" s="8" t="s">
        <v>5086</v>
      </c>
      <c r="D8426" s="8" t="str">
        <f>"9783658338886"</f>
        <v>9783658338886</v>
      </c>
    </row>
    <row r="8427" spans="1:4" ht="30" x14ac:dyDescent="0.25">
      <c r="A8427" s="7" t="s">
        <v>12794</v>
      </c>
      <c r="B8427" s="8" t="s">
        <v>12795</v>
      </c>
      <c r="C8427" s="8" t="s">
        <v>12712</v>
      </c>
      <c r="D8427" s="8" t="str">
        <f>"9783428423910"</f>
        <v>9783428423910</v>
      </c>
    </row>
    <row r="8428" spans="1:4" x14ac:dyDescent="0.25">
      <c r="A8428" s="7" t="s">
        <v>2604</v>
      </c>
      <c r="B8428" s="8" t="s">
        <v>2605</v>
      </c>
      <c r="C8428" s="8" t="s">
        <v>1345</v>
      </c>
      <c r="D8428" s="8" t="str">
        <f>"9783737600811"</f>
        <v>9783737600811</v>
      </c>
    </row>
    <row r="8429" spans="1:4" ht="30" x14ac:dyDescent="0.25">
      <c r="A8429" s="7" t="s">
        <v>11476</v>
      </c>
      <c r="B8429" s="8" t="s">
        <v>11477</v>
      </c>
      <c r="C8429" s="8" t="s">
        <v>355</v>
      </c>
      <c r="D8429" s="8" t="str">
        <f>"9783111476513"</f>
        <v>9783111476513</v>
      </c>
    </row>
    <row r="8430" spans="1:4" ht="30" x14ac:dyDescent="0.25">
      <c r="A8430" s="7" t="s">
        <v>6337</v>
      </c>
      <c r="B8430" s="8" t="s">
        <v>6338</v>
      </c>
      <c r="C8430" s="8" t="s">
        <v>1865</v>
      </c>
      <c r="D8430" s="8" t="str">
        <f>"9789179297442"</f>
        <v>9789179297442</v>
      </c>
    </row>
    <row r="8431" spans="1:4" x14ac:dyDescent="0.25">
      <c r="A8431" s="7" t="s">
        <v>9456</v>
      </c>
      <c r="B8431" s="8" t="s">
        <v>9457</v>
      </c>
      <c r="C8431" s="8" t="s">
        <v>9256</v>
      </c>
      <c r="D8431" s="8" t="str">
        <f>"9788021099951"</f>
        <v>9788021099951</v>
      </c>
    </row>
    <row r="8432" spans="1:4" ht="30" x14ac:dyDescent="0.25">
      <c r="A8432" s="7" t="s">
        <v>9372</v>
      </c>
      <c r="B8432" s="8" t="s">
        <v>9373</v>
      </c>
      <c r="C8432" s="8" t="s">
        <v>9256</v>
      </c>
      <c r="D8432" s="8" t="str">
        <f>"9788021096486"</f>
        <v>9788021096486</v>
      </c>
    </row>
    <row r="8433" spans="1:4" x14ac:dyDescent="0.25">
      <c r="A8433" s="7" t="s">
        <v>14203</v>
      </c>
      <c r="B8433" s="8" t="s">
        <v>14204</v>
      </c>
      <c r="C8433" s="8" t="s">
        <v>9256</v>
      </c>
      <c r="D8433" s="8" t="str">
        <f>"9788028000745"</f>
        <v>9788028000745</v>
      </c>
    </row>
    <row r="8434" spans="1:4" x14ac:dyDescent="0.25">
      <c r="A8434" s="7" t="s">
        <v>9433</v>
      </c>
      <c r="B8434" s="8" t="s">
        <v>9434</v>
      </c>
      <c r="C8434" s="8" t="s">
        <v>9256</v>
      </c>
      <c r="D8434" s="8" t="str">
        <f>"9788021099036"</f>
        <v>9788021099036</v>
      </c>
    </row>
    <row r="8435" spans="1:4" x14ac:dyDescent="0.25">
      <c r="A8435" s="7" t="s">
        <v>9327</v>
      </c>
      <c r="B8435" s="8" t="s">
        <v>9328</v>
      </c>
      <c r="C8435" s="8" t="s">
        <v>9256</v>
      </c>
      <c r="D8435" s="8" t="str">
        <f>"9788021095472"</f>
        <v>9788021095472</v>
      </c>
    </row>
    <row r="8436" spans="1:4" x14ac:dyDescent="0.25">
      <c r="A8436" s="7" t="s">
        <v>9415</v>
      </c>
      <c r="B8436" s="8" t="s">
        <v>9328</v>
      </c>
      <c r="C8436" s="8" t="s">
        <v>9256</v>
      </c>
      <c r="D8436" s="8" t="str">
        <f>"9788021098220"</f>
        <v>9788021098220</v>
      </c>
    </row>
    <row r="8437" spans="1:4" x14ac:dyDescent="0.25">
      <c r="A8437" s="7" t="s">
        <v>14198</v>
      </c>
      <c r="B8437" s="8" t="s">
        <v>9328</v>
      </c>
      <c r="C8437" s="8" t="s">
        <v>9256</v>
      </c>
      <c r="D8437" s="8" t="str">
        <f>"9788028000554"</f>
        <v>9788028000554</v>
      </c>
    </row>
    <row r="8438" spans="1:4" x14ac:dyDescent="0.25">
      <c r="A8438" s="7" t="s">
        <v>9255</v>
      </c>
      <c r="B8438" s="8" t="s">
        <v>9257</v>
      </c>
      <c r="C8438" s="8" t="s">
        <v>9256</v>
      </c>
      <c r="D8438" s="8" t="str">
        <f>"9788021059368"</f>
        <v>9788021059368</v>
      </c>
    </row>
    <row r="8439" spans="1:4" x14ac:dyDescent="0.25">
      <c r="A8439" s="7" t="s">
        <v>9445</v>
      </c>
      <c r="B8439" s="8" t="s">
        <v>9446</v>
      </c>
      <c r="C8439" s="8" t="s">
        <v>9256</v>
      </c>
      <c r="D8439" s="8" t="str">
        <f>"9788021099302"</f>
        <v>9788021099302</v>
      </c>
    </row>
    <row r="8440" spans="1:4" x14ac:dyDescent="0.25">
      <c r="A8440" s="7" t="s">
        <v>11937</v>
      </c>
      <c r="B8440" s="8" t="s">
        <v>11938</v>
      </c>
      <c r="C8440" s="8" t="s">
        <v>355</v>
      </c>
      <c r="D8440" s="8" t="str">
        <f>"9783486792720"</f>
        <v>9783486792720</v>
      </c>
    </row>
    <row r="8441" spans="1:4" x14ac:dyDescent="0.25">
      <c r="A8441" s="7" t="s">
        <v>12858</v>
      </c>
      <c r="B8441" s="8" t="s">
        <v>12859</v>
      </c>
      <c r="C8441" s="8" t="s">
        <v>12712</v>
      </c>
      <c r="D8441" s="8" t="str">
        <f>"9783428437931"</f>
        <v>9783428437931</v>
      </c>
    </row>
    <row r="8442" spans="1:4" x14ac:dyDescent="0.25">
      <c r="A8442" s="7" t="s">
        <v>12867</v>
      </c>
      <c r="B8442" s="8" t="s">
        <v>12857</v>
      </c>
      <c r="C8442" s="8" t="s">
        <v>12712</v>
      </c>
      <c r="D8442" s="8" t="str">
        <f>"9783428440542"</f>
        <v>9783428440542</v>
      </c>
    </row>
    <row r="8443" spans="1:4" x14ac:dyDescent="0.25">
      <c r="A8443" s="7" t="s">
        <v>12788</v>
      </c>
      <c r="B8443" s="8" t="s">
        <v>183</v>
      </c>
      <c r="C8443" s="8" t="s">
        <v>12712</v>
      </c>
      <c r="D8443" s="8" t="str">
        <f>"9783428422845"</f>
        <v>9783428422845</v>
      </c>
    </row>
    <row r="8444" spans="1:4" x14ac:dyDescent="0.25">
      <c r="A8444" s="7" t="s">
        <v>12789</v>
      </c>
      <c r="B8444" s="8" t="s">
        <v>183</v>
      </c>
      <c r="C8444" s="8" t="s">
        <v>12712</v>
      </c>
      <c r="D8444" s="8" t="str">
        <f>"9783428422852"</f>
        <v>9783428422852</v>
      </c>
    </row>
    <row r="8445" spans="1:4" ht="30" x14ac:dyDescent="0.25">
      <c r="A8445" s="7" t="s">
        <v>12950</v>
      </c>
      <c r="B8445" s="8" t="s">
        <v>12951</v>
      </c>
      <c r="C8445" s="8" t="s">
        <v>12712</v>
      </c>
      <c r="D8445" s="8" t="str">
        <f>"9783428456260"</f>
        <v>9783428456260</v>
      </c>
    </row>
    <row r="8446" spans="1:4" ht="30" x14ac:dyDescent="0.25">
      <c r="A8446" s="7" t="s">
        <v>12821</v>
      </c>
      <c r="B8446" s="8" t="s">
        <v>12822</v>
      </c>
      <c r="C8446" s="8" t="s">
        <v>12712</v>
      </c>
      <c r="D8446" s="8" t="str">
        <f>"9783428428939"</f>
        <v>9783428428939</v>
      </c>
    </row>
    <row r="8447" spans="1:4" x14ac:dyDescent="0.25">
      <c r="A8447" s="7" t="s">
        <v>8111</v>
      </c>
      <c r="B8447" s="8" t="s">
        <v>8112</v>
      </c>
      <c r="C8447" s="8" t="s">
        <v>4245</v>
      </c>
      <c r="D8447" s="8" t="str">
        <f>"9789811629044"</f>
        <v>9789811629044</v>
      </c>
    </row>
    <row r="8448" spans="1:4" x14ac:dyDescent="0.25">
      <c r="A8448" s="7" t="s">
        <v>8275</v>
      </c>
      <c r="B8448" s="8" t="s">
        <v>8276</v>
      </c>
      <c r="C8448" s="8" t="s">
        <v>993</v>
      </c>
      <c r="D8448" s="8" t="str">
        <f>"9783839448656"</f>
        <v>9783839448656</v>
      </c>
    </row>
    <row r="8449" spans="1:4" ht="30" x14ac:dyDescent="0.25">
      <c r="A8449" s="7" t="s">
        <v>7653</v>
      </c>
      <c r="B8449" s="8" t="s">
        <v>7654</v>
      </c>
      <c r="C8449" s="8" t="s">
        <v>993</v>
      </c>
      <c r="D8449" s="8" t="str">
        <f>"9783839425657"</f>
        <v>9783839425657</v>
      </c>
    </row>
    <row r="8450" spans="1:4" ht="30" x14ac:dyDescent="0.25">
      <c r="A8450" s="7" t="s">
        <v>8288</v>
      </c>
      <c r="B8450" s="8" t="s">
        <v>107</v>
      </c>
      <c r="C8450" s="8" t="s">
        <v>993</v>
      </c>
      <c r="D8450" s="8" t="str">
        <f>"9783839450673"</f>
        <v>9783839450673</v>
      </c>
    </row>
    <row r="8451" spans="1:4" x14ac:dyDescent="0.25">
      <c r="A8451" s="7" t="s">
        <v>7243</v>
      </c>
      <c r="B8451" s="8" t="s">
        <v>7244</v>
      </c>
      <c r="C8451" s="8" t="s">
        <v>355</v>
      </c>
      <c r="D8451" s="8" t="str">
        <f>"9783110614619"</f>
        <v>9783110614619</v>
      </c>
    </row>
    <row r="8452" spans="1:4" x14ac:dyDescent="0.25">
      <c r="A8452" s="7" t="s">
        <v>8510</v>
      </c>
      <c r="B8452" s="8" t="s">
        <v>8511</v>
      </c>
      <c r="C8452" s="8" t="s">
        <v>993</v>
      </c>
      <c r="D8452" s="8" t="str">
        <f>"9783839455043"</f>
        <v>9783839455043</v>
      </c>
    </row>
    <row r="8453" spans="1:4" ht="60" x14ac:dyDescent="0.25">
      <c r="A8453" s="7" t="s">
        <v>13332</v>
      </c>
      <c r="B8453" s="8" t="s">
        <v>190</v>
      </c>
      <c r="C8453" s="8" t="s">
        <v>12712</v>
      </c>
      <c r="D8453" s="8" t="str">
        <f>"9783428574919"</f>
        <v>9783428574919</v>
      </c>
    </row>
    <row r="8454" spans="1:4" ht="45" x14ac:dyDescent="0.25">
      <c r="A8454" s="7" t="s">
        <v>13017</v>
      </c>
      <c r="B8454" s="8" t="s">
        <v>12807</v>
      </c>
      <c r="C8454" s="8" t="s">
        <v>12712</v>
      </c>
      <c r="D8454" s="8" t="str">
        <f>"9783428467273"</f>
        <v>9783428467273</v>
      </c>
    </row>
    <row r="8455" spans="1:4" x14ac:dyDescent="0.25">
      <c r="A8455" s="7" t="s">
        <v>3079</v>
      </c>
      <c r="B8455" s="8" t="s">
        <v>2152</v>
      </c>
      <c r="C8455" s="8" t="s">
        <v>1879</v>
      </c>
      <c r="D8455" s="8" t="str">
        <f>"9781783742653"</f>
        <v>9781783742653</v>
      </c>
    </row>
    <row r="8456" spans="1:4" ht="30" x14ac:dyDescent="0.25">
      <c r="A8456" s="7" t="s">
        <v>5194</v>
      </c>
      <c r="B8456" s="8" t="s">
        <v>5195</v>
      </c>
      <c r="C8456" s="8" t="s">
        <v>1879</v>
      </c>
      <c r="D8456" s="8" t="str">
        <f>"9781783747344"</f>
        <v>9781783747344</v>
      </c>
    </row>
    <row r="8457" spans="1:4" x14ac:dyDescent="0.25">
      <c r="A8457" s="7" t="s">
        <v>10762</v>
      </c>
      <c r="B8457" s="8" t="s">
        <v>10763</v>
      </c>
      <c r="C8457" s="8" t="s">
        <v>1876</v>
      </c>
      <c r="D8457" s="8" t="str">
        <f>"9781921867330"</f>
        <v>9781921867330</v>
      </c>
    </row>
    <row r="8458" spans="1:4" x14ac:dyDescent="0.25">
      <c r="A8458" s="7" t="s">
        <v>12983</v>
      </c>
      <c r="B8458" s="8" t="s">
        <v>12941</v>
      </c>
      <c r="C8458" s="8" t="s">
        <v>12712</v>
      </c>
      <c r="D8458" s="8" t="str">
        <f>"9783428461004"</f>
        <v>9783428461004</v>
      </c>
    </row>
    <row r="8459" spans="1:4" x14ac:dyDescent="0.25">
      <c r="A8459" s="7" t="s">
        <v>12766</v>
      </c>
      <c r="B8459" s="8" t="s">
        <v>12767</v>
      </c>
      <c r="C8459" s="8" t="s">
        <v>12712</v>
      </c>
      <c r="D8459" s="8" t="str">
        <f>"9783428416196"</f>
        <v>9783428416196</v>
      </c>
    </row>
    <row r="8460" spans="1:4" x14ac:dyDescent="0.25">
      <c r="A8460" s="7" t="s">
        <v>8239</v>
      </c>
      <c r="B8460" s="8" t="s">
        <v>8240</v>
      </c>
      <c r="C8460" s="8" t="s">
        <v>993</v>
      </c>
      <c r="D8460" s="8" t="str">
        <f>"9783839455456"</f>
        <v>9783839455456</v>
      </c>
    </row>
    <row r="8461" spans="1:4" x14ac:dyDescent="0.25">
      <c r="A8461" s="7" t="s">
        <v>3344</v>
      </c>
      <c r="B8461" s="8" t="s">
        <v>3345</v>
      </c>
      <c r="C8461" s="8" t="s">
        <v>1879</v>
      </c>
      <c r="D8461" s="8" t="str">
        <f>"9781783744053"</f>
        <v>9781783744053</v>
      </c>
    </row>
    <row r="8462" spans="1:4" x14ac:dyDescent="0.25">
      <c r="A8462" s="7" t="s">
        <v>14247</v>
      </c>
      <c r="B8462" s="8" t="s">
        <v>14248</v>
      </c>
      <c r="C8462" s="8" t="s">
        <v>2273</v>
      </c>
      <c r="D8462" s="8" t="str">
        <f>"9783031145179"</f>
        <v>9783031145179</v>
      </c>
    </row>
    <row r="8463" spans="1:4" ht="30" x14ac:dyDescent="0.25">
      <c r="A8463" s="7" t="s">
        <v>482</v>
      </c>
      <c r="B8463" s="8" t="s">
        <v>483</v>
      </c>
      <c r="C8463" s="8" t="s">
        <v>316</v>
      </c>
      <c r="D8463" s="8" t="str">
        <f>"9783110268188"</f>
        <v>9783110268188</v>
      </c>
    </row>
    <row r="8464" spans="1:4" ht="30" x14ac:dyDescent="0.25">
      <c r="A8464" s="7" t="s">
        <v>8146</v>
      </c>
      <c r="B8464" s="8" t="s">
        <v>8147</v>
      </c>
      <c r="C8464" s="8" t="s">
        <v>993</v>
      </c>
      <c r="D8464" s="8" t="str">
        <f>"9783839456163"</f>
        <v>9783839456163</v>
      </c>
    </row>
    <row r="8465" spans="1:4" x14ac:dyDescent="0.25">
      <c r="A8465" s="7" t="s">
        <v>11967</v>
      </c>
      <c r="B8465" s="8" t="s">
        <v>11968</v>
      </c>
      <c r="C8465" s="8" t="s">
        <v>355</v>
      </c>
      <c r="D8465" s="8" t="str">
        <f>"9783110713336"</f>
        <v>9783110713336</v>
      </c>
    </row>
    <row r="8466" spans="1:4" x14ac:dyDescent="0.25">
      <c r="A8466" s="7" t="s">
        <v>1825</v>
      </c>
      <c r="B8466" s="8" t="s">
        <v>1472</v>
      </c>
      <c r="C8466" s="8" t="s">
        <v>1345</v>
      </c>
      <c r="D8466" s="8" t="str">
        <f>"9783862198078"</f>
        <v>9783862198078</v>
      </c>
    </row>
    <row r="8467" spans="1:4" x14ac:dyDescent="0.25">
      <c r="A8467" s="7" t="s">
        <v>10242</v>
      </c>
      <c r="B8467" s="8" t="s">
        <v>8350</v>
      </c>
      <c r="C8467" s="8" t="s">
        <v>993</v>
      </c>
      <c r="D8467" s="8" t="str">
        <f>"9783839445761"</f>
        <v>9783839445761</v>
      </c>
    </row>
    <row r="8468" spans="1:4" x14ac:dyDescent="0.25">
      <c r="A8468" s="7" t="s">
        <v>7628</v>
      </c>
      <c r="B8468" s="8" t="s">
        <v>7629</v>
      </c>
      <c r="C8468" s="8" t="s">
        <v>993</v>
      </c>
      <c r="D8468" s="8" t="str">
        <f>"9783839423127"</f>
        <v>9783839423127</v>
      </c>
    </row>
    <row r="8469" spans="1:4" x14ac:dyDescent="0.25">
      <c r="A8469" s="7" t="s">
        <v>11490</v>
      </c>
      <c r="B8469" s="8" t="s">
        <v>778</v>
      </c>
      <c r="C8469" s="8" t="s">
        <v>355</v>
      </c>
      <c r="D8469" s="8" t="str">
        <f>"9783110673265"</f>
        <v>9783110673265</v>
      </c>
    </row>
    <row r="8470" spans="1:4" ht="30" x14ac:dyDescent="0.25">
      <c r="A8470" s="7" t="s">
        <v>7140</v>
      </c>
      <c r="B8470" s="8" t="s">
        <v>7141</v>
      </c>
      <c r="C8470" s="8" t="s">
        <v>355</v>
      </c>
      <c r="D8470" s="8" t="str">
        <f>"9783110634327"</f>
        <v>9783110634327</v>
      </c>
    </row>
    <row r="8471" spans="1:4" ht="30" x14ac:dyDescent="0.25">
      <c r="A8471" s="7" t="s">
        <v>11366</v>
      </c>
      <c r="B8471" s="8" t="s">
        <v>11367</v>
      </c>
      <c r="C8471" s="8" t="s">
        <v>355</v>
      </c>
      <c r="D8471" s="8" t="str">
        <f>"9783110743005"</f>
        <v>9783110743005</v>
      </c>
    </row>
    <row r="8472" spans="1:4" x14ac:dyDescent="0.25">
      <c r="A8472" s="7" t="s">
        <v>7706</v>
      </c>
      <c r="B8472" s="8" t="s">
        <v>7707</v>
      </c>
      <c r="C8472" s="8" t="s">
        <v>993</v>
      </c>
      <c r="D8472" s="8" t="str">
        <f>"9783839427798"</f>
        <v>9783839427798</v>
      </c>
    </row>
    <row r="8473" spans="1:4" x14ac:dyDescent="0.25">
      <c r="A8473" s="7" t="s">
        <v>11560</v>
      </c>
      <c r="B8473" s="8" t="s">
        <v>11561</v>
      </c>
      <c r="C8473" s="8" t="s">
        <v>355</v>
      </c>
      <c r="D8473" s="8" t="str">
        <f>"9783111457550"</f>
        <v>9783111457550</v>
      </c>
    </row>
    <row r="8474" spans="1:4" ht="30" x14ac:dyDescent="0.25">
      <c r="A8474" s="7" t="s">
        <v>8469</v>
      </c>
      <c r="B8474" s="8" t="s">
        <v>8470</v>
      </c>
      <c r="C8474" s="8" t="s">
        <v>993</v>
      </c>
      <c r="D8474" s="8" t="str">
        <f>"9783839453766"</f>
        <v>9783839453766</v>
      </c>
    </row>
    <row r="8475" spans="1:4" ht="30" x14ac:dyDescent="0.25">
      <c r="A8475" s="7" t="s">
        <v>14881</v>
      </c>
      <c r="B8475" s="8" t="s">
        <v>14882</v>
      </c>
      <c r="C8475" s="8" t="s">
        <v>1865</v>
      </c>
      <c r="D8475" s="8" t="str">
        <f>"9789175196497"</f>
        <v>9789175196497</v>
      </c>
    </row>
    <row r="8476" spans="1:4" x14ac:dyDescent="0.25">
      <c r="A8476" s="7" t="s">
        <v>6853</v>
      </c>
      <c r="B8476" s="8" t="s">
        <v>98</v>
      </c>
      <c r="C8476" s="8" t="s">
        <v>2273</v>
      </c>
      <c r="D8476" s="8" t="str">
        <f>"9783030643089"</f>
        <v>9783030643089</v>
      </c>
    </row>
    <row r="8477" spans="1:4" x14ac:dyDescent="0.25">
      <c r="A8477" s="7" t="s">
        <v>5551</v>
      </c>
      <c r="B8477" s="8" t="s">
        <v>5552</v>
      </c>
      <c r="C8477" s="8" t="s">
        <v>5358</v>
      </c>
      <c r="D8477" s="8" t="str">
        <f>"9781789247978"</f>
        <v>9781789247978</v>
      </c>
    </row>
    <row r="8478" spans="1:4" x14ac:dyDescent="0.25">
      <c r="A8478" s="7" t="s">
        <v>15706</v>
      </c>
      <c r="B8478" s="8" t="s">
        <v>15707</v>
      </c>
      <c r="C8478" s="8" t="s">
        <v>1865</v>
      </c>
      <c r="D8478" s="8" t="str">
        <f>"9789175196909"</f>
        <v>9789175196909</v>
      </c>
    </row>
    <row r="8479" spans="1:4" ht="30" x14ac:dyDescent="0.25">
      <c r="A8479" s="7" t="s">
        <v>5096</v>
      </c>
      <c r="B8479" s="8" t="s">
        <v>5097</v>
      </c>
      <c r="C8479" s="8" t="s">
        <v>2273</v>
      </c>
      <c r="D8479" s="8" t="str">
        <f>"9783319442341"</f>
        <v>9783319442341</v>
      </c>
    </row>
    <row r="8480" spans="1:4" ht="30" x14ac:dyDescent="0.25">
      <c r="A8480" s="7" t="s">
        <v>2111</v>
      </c>
      <c r="B8480" s="8" t="s">
        <v>2112</v>
      </c>
      <c r="C8480" s="8" t="s">
        <v>1345</v>
      </c>
      <c r="D8480" s="8" t="str">
        <f>"9783862198191"</f>
        <v>9783862198191</v>
      </c>
    </row>
    <row r="8481" spans="1:4" ht="30" x14ac:dyDescent="0.25">
      <c r="A8481" s="7" t="s">
        <v>8797</v>
      </c>
      <c r="B8481" s="8" t="s">
        <v>8798</v>
      </c>
      <c r="C8481" s="8" t="s">
        <v>2273</v>
      </c>
      <c r="D8481" s="8" t="str">
        <f>"9783030790356"</f>
        <v>9783030790356</v>
      </c>
    </row>
    <row r="8482" spans="1:4" x14ac:dyDescent="0.25">
      <c r="A8482" s="7" t="s">
        <v>10673</v>
      </c>
      <c r="B8482" s="8" t="s">
        <v>10674</v>
      </c>
      <c r="C8482" s="8" t="s">
        <v>2273</v>
      </c>
      <c r="D8482" s="8" t="str">
        <f>"9783030928803"</f>
        <v>9783030928803</v>
      </c>
    </row>
    <row r="8483" spans="1:4" ht="30" x14ac:dyDescent="0.25">
      <c r="A8483" s="7" t="s">
        <v>9464</v>
      </c>
      <c r="B8483" s="8" t="s">
        <v>9465</v>
      </c>
      <c r="C8483" s="8" t="s">
        <v>1332</v>
      </c>
      <c r="D8483" s="8" t="str">
        <f>"9781789060768"</f>
        <v>9781789060768</v>
      </c>
    </row>
    <row r="8484" spans="1:4" x14ac:dyDescent="0.25">
      <c r="A8484" s="7" t="s">
        <v>1357</v>
      </c>
      <c r="B8484" s="8" t="s">
        <v>1358</v>
      </c>
      <c r="C8484" s="8" t="s">
        <v>1345</v>
      </c>
      <c r="D8484" s="8" t="str">
        <f>""</f>
        <v/>
      </c>
    </row>
    <row r="8485" spans="1:4" x14ac:dyDescent="0.25">
      <c r="A8485" s="7" t="s">
        <v>2827</v>
      </c>
      <c r="B8485" s="8" t="s">
        <v>2828</v>
      </c>
      <c r="C8485" s="8" t="s">
        <v>562</v>
      </c>
      <c r="D8485" s="8" t="str">
        <f>"9780822373766"</f>
        <v>9780822373766</v>
      </c>
    </row>
    <row r="8486" spans="1:4" x14ac:dyDescent="0.25">
      <c r="A8486" s="7" t="s">
        <v>2613</v>
      </c>
      <c r="B8486" s="8" t="s">
        <v>2614</v>
      </c>
      <c r="C8486" s="8" t="s">
        <v>309</v>
      </c>
      <c r="D8486" s="8" t="str">
        <f>"9781439912997"</f>
        <v>9781439912997</v>
      </c>
    </row>
    <row r="8487" spans="1:4" x14ac:dyDescent="0.25">
      <c r="A8487" s="7" t="s">
        <v>12227</v>
      </c>
      <c r="B8487" s="8" t="s">
        <v>12228</v>
      </c>
      <c r="C8487" s="8" t="s">
        <v>355</v>
      </c>
      <c r="D8487" s="8" t="str">
        <f>"9783110620580"</f>
        <v>9783110620580</v>
      </c>
    </row>
    <row r="8488" spans="1:4" ht="30" x14ac:dyDescent="0.25">
      <c r="A8488" s="7" t="s">
        <v>9369</v>
      </c>
      <c r="B8488" s="8" t="s">
        <v>217</v>
      </c>
      <c r="C8488" s="8" t="s">
        <v>9256</v>
      </c>
      <c r="D8488" s="8" t="str">
        <f>"9788021096417"</f>
        <v>9788021096417</v>
      </c>
    </row>
    <row r="8489" spans="1:4" x14ac:dyDescent="0.25">
      <c r="A8489" s="7" t="s">
        <v>15710</v>
      </c>
      <c r="B8489" s="8" t="s">
        <v>15711</v>
      </c>
      <c r="C8489" s="8" t="s">
        <v>1865</v>
      </c>
      <c r="D8489" s="8" t="str">
        <f>"9789179295509"</f>
        <v>9789179295509</v>
      </c>
    </row>
    <row r="8490" spans="1:4" x14ac:dyDescent="0.25">
      <c r="A8490" s="7" t="s">
        <v>15275</v>
      </c>
      <c r="B8490" s="8" t="s">
        <v>15276</v>
      </c>
      <c r="C8490" s="8" t="s">
        <v>1865</v>
      </c>
      <c r="D8490" s="8" t="str">
        <f>"9789175194431"</f>
        <v>9789175194431</v>
      </c>
    </row>
    <row r="8491" spans="1:4" x14ac:dyDescent="0.25">
      <c r="A8491" s="7" t="s">
        <v>5760</v>
      </c>
      <c r="B8491" s="8" t="s">
        <v>5761</v>
      </c>
      <c r="C8491" s="8" t="s">
        <v>2273</v>
      </c>
      <c r="D8491" s="8" t="str">
        <f>"9783319684185"</f>
        <v>9783319684185</v>
      </c>
    </row>
    <row r="8492" spans="1:4" ht="30" x14ac:dyDescent="0.25">
      <c r="A8492" s="7" t="s">
        <v>10497</v>
      </c>
      <c r="B8492" s="8" t="s">
        <v>10498</v>
      </c>
      <c r="C8492" s="8" t="s">
        <v>993</v>
      </c>
      <c r="D8492" s="8" t="str">
        <f>"9783839458259"</f>
        <v>9783839458259</v>
      </c>
    </row>
    <row r="8493" spans="1:4" x14ac:dyDescent="0.25">
      <c r="A8493" s="7" t="s">
        <v>15712</v>
      </c>
      <c r="B8493" s="8" t="s">
        <v>15713</v>
      </c>
      <c r="C8493" s="8" t="s">
        <v>1865</v>
      </c>
      <c r="D8493" s="8" t="str">
        <f>"9789176857533"</f>
        <v>9789176857533</v>
      </c>
    </row>
    <row r="8494" spans="1:4" ht="30" x14ac:dyDescent="0.25">
      <c r="A8494" s="7" t="s">
        <v>13000</v>
      </c>
      <c r="B8494" s="8" t="s">
        <v>12974</v>
      </c>
      <c r="C8494" s="8" t="s">
        <v>12712</v>
      </c>
      <c r="D8494" s="8" t="str">
        <f>"9783428464333"</f>
        <v>9783428464333</v>
      </c>
    </row>
    <row r="8495" spans="1:4" ht="30" x14ac:dyDescent="0.25">
      <c r="A8495" s="7" t="s">
        <v>1421</v>
      </c>
      <c r="B8495" s="8" t="s">
        <v>1422</v>
      </c>
      <c r="C8495" s="8" t="s">
        <v>1345</v>
      </c>
      <c r="D8495" s="8" t="str">
        <f>"9783899589139"</f>
        <v>9783899589139</v>
      </c>
    </row>
    <row r="8496" spans="1:4" x14ac:dyDescent="0.25">
      <c r="A8496" s="7" t="s">
        <v>6577</v>
      </c>
      <c r="B8496" s="8" t="s">
        <v>6578</v>
      </c>
      <c r="C8496" s="8" t="s">
        <v>5086</v>
      </c>
      <c r="D8496" s="8" t="str">
        <f>"9783658186715"</f>
        <v>9783658186715</v>
      </c>
    </row>
    <row r="8497" spans="1:4" x14ac:dyDescent="0.25">
      <c r="A8497" s="7" t="s">
        <v>9853</v>
      </c>
      <c r="B8497" s="8" t="s">
        <v>9854</v>
      </c>
      <c r="C8497" s="8" t="s">
        <v>993</v>
      </c>
      <c r="D8497" s="8" t="str">
        <f>"9783839406694"</f>
        <v>9783839406694</v>
      </c>
    </row>
    <row r="8498" spans="1:4" x14ac:dyDescent="0.25">
      <c r="A8498" s="7" t="s">
        <v>3545</v>
      </c>
      <c r="B8498" s="8" t="s">
        <v>3546</v>
      </c>
      <c r="C8498" s="8" t="s">
        <v>1345</v>
      </c>
      <c r="D8498" s="8" t="str">
        <f>"9783737604475"</f>
        <v>9783737604475</v>
      </c>
    </row>
    <row r="8499" spans="1:4" ht="30" x14ac:dyDescent="0.25">
      <c r="A8499" s="7" t="s">
        <v>7164</v>
      </c>
      <c r="B8499" s="8" t="s">
        <v>7165</v>
      </c>
      <c r="C8499" s="8" t="s">
        <v>355</v>
      </c>
      <c r="D8499" s="8" t="str">
        <f>"9783110642513"</f>
        <v>9783110642513</v>
      </c>
    </row>
    <row r="8500" spans="1:4" ht="30" x14ac:dyDescent="0.25">
      <c r="A8500" s="7" t="s">
        <v>5821</v>
      </c>
      <c r="B8500" s="8" t="s">
        <v>5723</v>
      </c>
      <c r="C8500" s="8" t="s">
        <v>5134</v>
      </c>
      <c r="D8500" s="8" t="str">
        <f>"9783662532607"</f>
        <v>9783662532607</v>
      </c>
    </row>
    <row r="8501" spans="1:4" x14ac:dyDescent="0.25">
      <c r="A8501" s="7" t="s">
        <v>3907</v>
      </c>
      <c r="B8501" s="8" t="s">
        <v>3908</v>
      </c>
      <c r="C8501" s="8" t="s">
        <v>355</v>
      </c>
      <c r="D8501" s="8" t="str">
        <f>"9783110535655"</f>
        <v>9783110535655</v>
      </c>
    </row>
    <row r="8502" spans="1:4" x14ac:dyDescent="0.25">
      <c r="A8502" s="7" t="s">
        <v>5962</v>
      </c>
      <c r="B8502" s="8" t="s">
        <v>5963</v>
      </c>
      <c r="C8502" s="8" t="s">
        <v>5134</v>
      </c>
      <c r="D8502" s="8" t="str">
        <f>"9783662492048"</f>
        <v>9783662492048</v>
      </c>
    </row>
    <row r="8503" spans="1:4" x14ac:dyDescent="0.25">
      <c r="A8503" s="7" t="s">
        <v>10141</v>
      </c>
      <c r="B8503" s="8" t="s">
        <v>10142</v>
      </c>
      <c r="C8503" s="8" t="s">
        <v>993</v>
      </c>
      <c r="D8503" s="8" t="str">
        <f>"9783839439586"</f>
        <v>9783839439586</v>
      </c>
    </row>
    <row r="8504" spans="1:4" x14ac:dyDescent="0.25">
      <c r="A8504" s="7" t="s">
        <v>3476</v>
      </c>
      <c r="B8504" s="8" t="s">
        <v>3477</v>
      </c>
      <c r="C8504" s="8" t="s">
        <v>1879</v>
      </c>
      <c r="D8504" s="8" t="str">
        <f>"9781783744237"</f>
        <v>9781783744237</v>
      </c>
    </row>
    <row r="8505" spans="1:4" x14ac:dyDescent="0.25">
      <c r="A8505" s="7" t="s">
        <v>9896</v>
      </c>
      <c r="B8505" s="8" t="s">
        <v>9897</v>
      </c>
      <c r="C8505" s="8" t="s">
        <v>993</v>
      </c>
      <c r="D8505" s="8" t="str">
        <f>"9783839407578"</f>
        <v>9783839407578</v>
      </c>
    </row>
    <row r="8506" spans="1:4" ht="30" x14ac:dyDescent="0.25">
      <c r="A8506" s="7" t="s">
        <v>10051</v>
      </c>
      <c r="B8506" s="8" t="s">
        <v>10052</v>
      </c>
      <c r="C8506" s="8" t="s">
        <v>993</v>
      </c>
      <c r="D8506" s="8" t="str">
        <f>"9783839412206"</f>
        <v>9783839412206</v>
      </c>
    </row>
    <row r="8507" spans="1:4" ht="30" x14ac:dyDescent="0.25">
      <c r="A8507" s="7" t="s">
        <v>12744</v>
      </c>
      <c r="B8507" s="8" t="s">
        <v>12720</v>
      </c>
      <c r="C8507" s="8" t="s">
        <v>12712</v>
      </c>
      <c r="D8507" s="8" t="str">
        <f>"9783428411900"</f>
        <v>9783428411900</v>
      </c>
    </row>
    <row r="8508" spans="1:4" x14ac:dyDescent="0.25">
      <c r="A8508" s="7" t="s">
        <v>7507</v>
      </c>
      <c r="B8508" s="8" t="s">
        <v>7508</v>
      </c>
      <c r="C8508" s="8" t="s">
        <v>993</v>
      </c>
      <c r="D8508" s="8" t="str">
        <f>"9783839401125"</f>
        <v>9783839401125</v>
      </c>
    </row>
    <row r="8509" spans="1:4" x14ac:dyDescent="0.25">
      <c r="A8509" s="7" t="s">
        <v>10495</v>
      </c>
      <c r="B8509" s="8" t="s">
        <v>10496</v>
      </c>
      <c r="C8509" s="8" t="s">
        <v>993</v>
      </c>
      <c r="D8509" s="8" t="str">
        <f>"9783839458204"</f>
        <v>9783839458204</v>
      </c>
    </row>
    <row r="8510" spans="1:4" ht="30" x14ac:dyDescent="0.25">
      <c r="A8510" s="7" t="s">
        <v>7673</v>
      </c>
      <c r="B8510" s="8" t="s">
        <v>7674</v>
      </c>
      <c r="C8510" s="8" t="s">
        <v>993</v>
      </c>
      <c r="D8510" s="8" t="str">
        <f>"9783839427316"</f>
        <v>9783839427316</v>
      </c>
    </row>
    <row r="8511" spans="1:4" ht="30" x14ac:dyDescent="0.25">
      <c r="A8511" s="7" t="s">
        <v>10440</v>
      </c>
      <c r="B8511" s="8" t="s">
        <v>10441</v>
      </c>
      <c r="C8511" s="8" t="s">
        <v>993</v>
      </c>
      <c r="D8511" s="8" t="str">
        <f>"9783839456798"</f>
        <v>9783839456798</v>
      </c>
    </row>
    <row r="8512" spans="1:4" ht="30" x14ac:dyDescent="0.25">
      <c r="A8512" s="7" t="s">
        <v>1008</v>
      </c>
      <c r="B8512" s="8" t="s">
        <v>1009</v>
      </c>
      <c r="C8512" s="8" t="s">
        <v>993</v>
      </c>
      <c r="D8512" s="8" t="str">
        <f>"9783839419885"</f>
        <v>9783839419885</v>
      </c>
    </row>
    <row r="8513" spans="1:4" x14ac:dyDescent="0.25">
      <c r="A8513" s="7" t="s">
        <v>12924</v>
      </c>
      <c r="B8513" s="8" t="s">
        <v>12925</v>
      </c>
      <c r="C8513" s="8" t="s">
        <v>12712</v>
      </c>
      <c r="D8513" s="8" t="str">
        <f>"9783428450138"</f>
        <v>9783428450138</v>
      </c>
    </row>
    <row r="8514" spans="1:4" ht="30" x14ac:dyDescent="0.25">
      <c r="A8514" s="7" t="s">
        <v>12501</v>
      </c>
      <c r="B8514" s="8" t="s">
        <v>12502</v>
      </c>
      <c r="C8514" s="8" t="s">
        <v>5086</v>
      </c>
      <c r="D8514" s="8" t="str">
        <f>"9783658384562"</f>
        <v>9783658384562</v>
      </c>
    </row>
    <row r="8515" spans="1:4" ht="30" x14ac:dyDescent="0.25">
      <c r="A8515" s="7" t="s">
        <v>13550</v>
      </c>
      <c r="B8515" s="8" t="s">
        <v>13551</v>
      </c>
      <c r="C8515" s="8" t="s">
        <v>5134</v>
      </c>
      <c r="D8515" s="8" t="str">
        <f>"9783662651308"</f>
        <v>9783662651308</v>
      </c>
    </row>
    <row r="8516" spans="1:4" x14ac:dyDescent="0.25">
      <c r="A8516" s="7" t="s">
        <v>2703</v>
      </c>
      <c r="B8516" s="8" t="s">
        <v>1578</v>
      </c>
      <c r="C8516" s="8" t="s">
        <v>1345</v>
      </c>
      <c r="D8516" s="8" t="str">
        <f>"9783737601597"</f>
        <v>9783737601597</v>
      </c>
    </row>
    <row r="8517" spans="1:4" ht="45" x14ac:dyDescent="0.25">
      <c r="A8517" s="7" t="s">
        <v>1150</v>
      </c>
      <c r="B8517" s="8" t="s">
        <v>1151</v>
      </c>
      <c r="C8517" s="8" t="s">
        <v>316</v>
      </c>
      <c r="D8517" s="8" t="str">
        <f>"9783110888249"</f>
        <v>9783110888249</v>
      </c>
    </row>
    <row r="8518" spans="1:4" ht="30" x14ac:dyDescent="0.25">
      <c r="A8518" s="7" t="s">
        <v>9618</v>
      </c>
      <c r="B8518" s="8" t="s">
        <v>9619</v>
      </c>
      <c r="C8518" s="8" t="s">
        <v>9476</v>
      </c>
      <c r="D8518" s="8" t="str">
        <f>"9781787447202"</f>
        <v>9781787447202</v>
      </c>
    </row>
    <row r="8519" spans="1:4" ht="30" x14ac:dyDescent="0.25">
      <c r="A8519" s="7" t="s">
        <v>832</v>
      </c>
      <c r="B8519" s="8" t="s">
        <v>833</v>
      </c>
      <c r="C8519" s="8" t="s">
        <v>355</v>
      </c>
      <c r="D8519" s="8" t="str">
        <f>"9783110345476"</f>
        <v>9783110345476</v>
      </c>
    </row>
    <row r="8520" spans="1:4" x14ac:dyDescent="0.25">
      <c r="A8520" s="7" t="s">
        <v>436</v>
      </c>
      <c r="B8520" s="8" t="s">
        <v>437</v>
      </c>
      <c r="C8520" s="8" t="s">
        <v>227</v>
      </c>
      <c r="D8520" s="8" t="str">
        <f>"9781847790767"</f>
        <v>9781847790767</v>
      </c>
    </row>
    <row r="8521" spans="1:4" x14ac:dyDescent="0.25">
      <c r="A8521" s="7" t="s">
        <v>3848</v>
      </c>
      <c r="B8521" s="8" t="s">
        <v>3849</v>
      </c>
      <c r="C8521" s="8" t="s">
        <v>355</v>
      </c>
      <c r="D8521" s="8" t="str">
        <f>"9783110500820"</f>
        <v>9783110500820</v>
      </c>
    </row>
    <row r="8522" spans="1:4" x14ac:dyDescent="0.25">
      <c r="A8522" s="7" t="s">
        <v>6060</v>
      </c>
      <c r="B8522" s="8" t="s">
        <v>6061</v>
      </c>
      <c r="C8522" s="8" t="s">
        <v>2273</v>
      </c>
      <c r="D8522" s="8" t="str">
        <f>"9783319137643"</f>
        <v>9783319137643</v>
      </c>
    </row>
    <row r="8523" spans="1:4" x14ac:dyDescent="0.25">
      <c r="A8523" s="7" t="s">
        <v>12987</v>
      </c>
      <c r="B8523" s="8" t="s">
        <v>12833</v>
      </c>
      <c r="C8523" s="8" t="s">
        <v>12712</v>
      </c>
      <c r="D8523" s="8" t="str">
        <f>"9783428461264"</f>
        <v>9783428461264</v>
      </c>
    </row>
    <row r="8524" spans="1:4" x14ac:dyDescent="0.25">
      <c r="A8524" s="7" t="s">
        <v>12901</v>
      </c>
      <c r="B8524" s="8" t="s">
        <v>12833</v>
      </c>
      <c r="C8524" s="8" t="s">
        <v>12712</v>
      </c>
      <c r="D8524" s="8" t="str">
        <f>"9783428445974"</f>
        <v>9783428445974</v>
      </c>
    </row>
    <row r="8525" spans="1:4" x14ac:dyDescent="0.25">
      <c r="A8525" s="7" t="s">
        <v>13003</v>
      </c>
      <c r="B8525" s="8" t="s">
        <v>12833</v>
      </c>
      <c r="C8525" s="8" t="s">
        <v>12712</v>
      </c>
      <c r="D8525" s="8" t="str">
        <f>"9783428465354"</f>
        <v>9783428465354</v>
      </c>
    </row>
    <row r="8526" spans="1:4" x14ac:dyDescent="0.25">
      <c r="A8526" s="7" t="s">
        <v>11902</v>
      </c>
      <c r="B8526" s="8" t="s">
        <v>11903</v>
      </c>
      <c r="C8526" s="8" t="s">
        <v>355</v>
      </c>
      <c r="D8526" s="8" t="str">
        <f>"9783110663839"</f>
        <v>9783110663839</v>
      </c>
    </row>
    <row r="8527" spans="1:4" x14ac:dyDescent="0.25">
      <c r="A8527" s="7" t="s">
        <v>13467</v>
      </c>
      <c r="B8527" s="8" t="s">
        <v>12833</v>
      </c>
      <c r="C8527" s="8" t="s">
        <v>12712</v>
      </c>
      <c r="D8527" s="8" t="str">
        <f>"9783428449583"</f>
        <v>9783428449583</v>
      </c>
    </row>
    <row r="8528" spans="1:4" x14ac:dyDescent="0.25">
      <c r="A8528" s="7" t="s">
        <v>13466</v>
      </c>
      <c r="B8528" s="8" t="s">
        <v>12833</v>
      </c>
      <c r="C8528" s="8" t="s">
        <v>12712</v>
      </c>
      <c r="D8528" s="8" t="str">
        <f>"9783428443130"</f>
        <v>9783428443130</v>
      </c>
    </row>
    <row r="8529" spans="1:4" x14ac:dyDescent="0.25">
      <c r="A8529" s="7" t="s">
        <v>13465</v>
      </c>
      <c r="B8529" s="8" t="s">
        <v>12833</v>
      </c>
      <c r="C8529" s="8" t="s">
        <v>12712</v>
      </c>
      <c r="D8529" s="8" t="str">
        <f>"9783428440313"</f>
        <v>9783428440313</v>
      </c>
    </row>
    <row r="8530" spans="1:4" x14ac:dyDescent="0.25">
      <c r="A8530" s="7" t="s">
        <v>12846</v>
      </c>
      <c r="B8530" s="8" t="s">
        <v>12833</v>
      </c>
      <c r="C8530" s="8" t="s">
        <v>12712</v>
      </c>
      <c r="D8530" s="8" t="str">
        <f>"9783428435388"</f>
        <v>9783428435388</v>
      </c>
    </row>
    <row r="8531" spans="1:4" x14ac:dyDescent="0.25">
      <c r="A8531" s="7" t="s">
        <v>13010</v>
      </c>
      <c r="B8531" s="8" t="s">
        <v>12833</v>
      </c>
      <c r="C8531" s="8" t="s">
        <v>12712</v>
      </c>
      <c r="D8531" s="8" t="str">
        <f>"9783428466344"</f>
        <v>9783428466344</v>
      </c>
    </row>
    <row r="8532" spans="1:4" ht="30" x14ac:dyDescent="0.25">
      <c r="A8532" s="7" t="s">
        <v>3100</v>
      </c>
      <c r="B8532" s="8" t="s">
        <v>3101</v>
      </c>
      <c r="C8532" s="8" t="s">
        <v>1865</v>
      </c>
      <c r="D8532" s="8" t="str">
        <f>"9789176855843"</f>
        <v>9789176855843</v>
      </c>
    </row>
    <row r="8533" spans="1:4" ht="45" x14ac:dyDescent="0.25">
      <c r="A8533" s="7" t="s">
        <v>2270</v>
      </c>
      <c r="B8533" s="8" t="s">
        <v>2271</v>
      </c>
      <c r="C8533" s="8" t="s">
        <v>316</v>
      </c>
      <c r="D8533" s="8" t="str">
        <f>"9783110419665"</f>
        <v>9783110419665</v>
      </c>
    </row>
    <row r="8534" spans="1:4" x14ac:dyDescent="0.25">
      <c r="A8534" s="7" t="s">
        <v>10958</v>
      </c>
      <c r="B8534" s="8" t="s">
        <v>10959</v>
      </c>
      <c r="C8534" s="8" t="s">
        <v>9138</v>
      </c>
      <c r="D8534" s="8" t="str">
        <f>"9780520974135"</f>
        <v>9780520974135</v>
      </c>
    </row>
    <row r="8535" spans="1:4" x14ac:dyDescent="0.25">
      <c r="A8535" s="7" t="s">
        <v>6546</v>
      </c>
      <c r="B8535" s="8" t="s">
        <v>6547</v>
      </c>
      <c r="C8535" s="8" t="s">
        <v>1879</v>
      </c>
      <c r="D8535" s="8" t="str">
        <f>"9781800640252"</f>
        <v>9781800640252</v>
      </c>
    </row>
    <row r="8536" spans="1:4" ht="30" x14ac:dyDescent="0.25">
      <c r="A8536" s="7" t="s">
        <v>9196</v>
      </c>
      <c r="B8536" s="8" t="s">
        <v>9197</v>
      </c>
      <c r="C8536" s="8" t="s">
        <v>4882</v>
      </c>
      <c r="D8536" s="8" t="str">
        <f>"9781781385760"</f>
        <v>9781781385760</v>
      </c>
    </row>
    <row r="8537" spans="1:4" ht="30" x14ac:dyDescent="0.25">
      <c r="A8537" s="7" t="s">
        <v>14392</v>
      </c>
      <c r="B8537" s="8" t="s">
        <v>14393</v>
      </c>
      <c r="C8537" s="8" t="s">
        <v>1865</v>
      </c>
      <c r="D8537" s="8" t="str">
        <f>"9789179294281"</f>
        <v>9789179294281</v>
      </c>
    </row>
    <row r="8538" spans="1:4" x14ac:dyDescent="0.25">
      <c r="A8538" s="7" t="s">
        <v>1799</v>
      </c>
      <c r="B8538" s="8" t="s">
        <v>1800</v>
      </c>
      <c r="C8538" s="8" t="s">
        <v>1345</v>
      </c>
      <c r="D8538" s="8" t="str">
        <f>"9783862194957"</f>
        <v>9783862194957</v>
      </c>
    </row>
    <row r="8539" spans="1:4" x14ac:dyDescent="0.25">
      <c r="A8539" s="7" t="s">
        <v>10813</v>
      </c>
      <c r="B8539" s="8" t="s">
        <v>10814</v>
      </c>
      <c r="C8539" s="8" t="s">
        <v>1876</v>
      </c>
      <c r="D8539" s="8" t="str">
        <f>"9781925523812"</f>
        <v>9781925523812</v>
      </c>
    </row>
    <row r="8540" spans="1:4" ht="30" x14ac:dyDescent="0.25">
      <c r="A8540" s="7" t="s">
        <v>13473</v>
      </c>
      <c r="B8540" s="8" t="s">
        <v>13474</v>
      </c>
      <c r="C8540" s="8" t="s">
        <v>2273</v>
      </c>
      <c r="D8540" s="8" t="str">
        <f>"9783031117565"</f>
        <v>9783031117565</v>
      </c>
    </row>
    <row r="8541" spans="1:4" ht="30" x14ac:dyDescent="0.25">
      <c r="A8541" s="7" t="s">
        <v>10499</v>
      </c>
      <c r="B8541" s="8" t="s">
        <v>10500</v>
      </c>
      <c r="C8541" s="8" t="s">
        <v>993</v>
      </c>
      <c r="D8541" s="8" t="str">
        <f>"9783839458235"</f>
        <v>9783839458235</v>
      </c>
    </row>
    <row r="8542" spans="1:4" x14ac:dyDescent="0.25">
      <c r="A8542" s="7" t="s">
        <v>2159</v>
      </c>
      <c r="B8542" s="8" t="s">
        <v>2160</v>
      </c>
      <c r="C8542" s="8" t="s">
        <v>1879</v>
      </c>
      <c r="D8542" s="8" t="str">
        <f>"9781783741595"</f>
        <v>9781783741595</v>
      </c>
    </row>
    <row r="8543" spans="1:4" x14ac:dyDescent="0.25">
      <c r="A8543" s="7" t="s">
        <v>3080</v>
      </c>
      <c r="B8543" s="8" t="s">
        <v>2160</v>
      </c>
      <c r="C8543" s="8" t="s">
        <v>1879</v>
      </c>
      <c r="D8543" s="8" t="str">
        <f>"9781783743100"</f>
        <v>9781783743100</v>
      </c>
    </row>
    <row r="8544" spans="1:4" x14ac:dyDescent="0.25">
      <c r="A8544" s="7" t="s">
        <v>3948</v>
      </c>
      <c r="B8544" s="8" t="s">
        <v>2160</v>
      </c>
      <c r="C8544" s="8" t="s">
        <v>1879</v>
      </c>
      <c r="D8544" s="8" t="str">
        <f>"9781783744305"</f>
        <v>9781783744305</v>
      </c>
    </row>
    <row r="8545" spans="1:4" x14ac:dyDescent="0.25">
      <c r="A8545" s="7" t="s">
        <v>7402</v>
      </c>
      <c r="B8545" s="8" t="s">
        <v>2160</v>
      </c>
      <c r="C8545" s="8" t="s">
        <v>1879</v>
      </c>
      <c r="D8545" s="8" t="str">
        <f>"9781800642744"</f>
        <v>9781800642744</v>
      </c>
    </row>
    <row r="8546" spans="1:4" x14ac:dyDescent="0.25">
      <c r="A8546" s="7" t="s">
        <v>6325</v>
      </c>
      <c r="B8546" s="8" t="s">
        <v>2160</v>
      </c>
      <c r="C8546" s="8" t="s">
        <v>1879</v>
      </c>
      <c r="D8546" s="8" t="str">
        <f>"9781783748358"</f>
        <v>9781783748358</v>
      </c>
    </row>
    <row r="8547" spans="1:4" ht="30" x14ac:dyDescent="0.25">
      <c r="A8547" s="7" t="s">
        <v>16198</v>
      </c>
      <c r="B8547" s="8" t="s">
        <v>4406</v>
      </c>
      <c r="C8547" s="8" t="s">
        <v>1865</v>
      </c>
      <c r="D8547" s="8" t="str">
        <f>"9789176856963"</f>
        <v>9789176856963</v>
      </c>
    </row>
    <row r="8548" spans="1:4" x14ac:dyDescent="0.25">
      <c r="A8548" s="7" t="s">
        <v>638</v>
      </c>
      <c r="B8548" s="8" t="s">
        <v>639</v>
      </c>
      <c r="C8548" s="8" t="s">
        <v>562</v>
      </c>
      <c r="D8548" s="8" t="str">
        <f>"9780822394518"</f>
        <v>9780822394518</v>
      </c>
    </row>
    <row r="8549" spans="1:4" x14ac:dyDescent="0.25">
      <c r="A8549" s="7" t="s">
        <v>10852</v>
      </c>
      <c r="B8549" s="8" t="s">
        <v>10853</v>
      </c>
      <c r="C8549" s="8" t="s">
        <v>2273</v>
      </c>
      <c r="D8549" s="8" t="str">
        <f>"9783030906733"</f>
        <v>9783030906733</v>
      </c>
    </row>
    <row r="8550" spans="1:4" ht="30" x14ac:dyDescent="0.25">
      <c r="A8550" s="7" t="s">
        <v>4193</v>
      </c>
      <c r="B8550" s="8" t="s">
        <v>4194</v>
      </c>
      <c r="C8550" s="8" t="s">
        <v>1865</v>
      </c>
      <c r="D8550" s="8" t="str">
        <f>"9789176851609"</f>
        <v>9789176851609</v>
      </c>
    </row>
    <row r="8551" spans="1:4" x14ac:dyDescent="0.25">
      <c r="A8551" s="7" t="s">
        <v>5230</v>
      </c>
      <c r="B8551" s="8" t="s">
        <v>5231</v>
      </c>
      <c r="C8551" s="8" t="s">
        <v>4245</v>
      </c>
      <c r="D8551" s="8" t="str">
        <f>"9789811557286"</f>
        <v>9789811557286</v>
      </c>
    </row>
    <row r="8552" spans="1:4" ht="30" x14ac:dyDescent="0.25">
      <c r="A8552" s="7" t="s">
        <v>10868</v>
      </c>
      <c r="B8552" s="8" t="s">
        <v>10869</v>
      </c>
      <c r="C8552" s="8" t="s">
        <v>2273</v>
      </c>
      <c r="D8552" s="8" t="str">
        <f>"9783030944292"</f>
        <v>9783030944292</v>
      </c>
    </row>
    <row r="8553" spans="1:4" x14ac:dyDescent="0.25">
      <c r="A8553" s="7" t="s">
        <v>2081</v>
      </c>
      <c r="B8553" s="8" t="s">
        <v>2083</v>
      </c>
      <c r="C8553" s="8" t="s">
        <v>2082</v>
      </c>
      <c r="D8553" s="8" t="str">
        <f>"9780472026371"</f>
        <v>9780472026371</v>
      </c>
    </row>
    <row r="8554" spans="1:4" ht="30" x14ac:dyDescent="0.25">
      <c r="A8554" s="7" t="s">
        <v>12531</v>
      </c>
      <c r="B8554" s="8" t="s">
        <v>12532</v>
      </c>
      <c r="C8554" s="8" t="s">
        <v>355</v>
      </c>
      <c r="D8554" s="8" t="str">
        <f>"9783110758870"</f>
        <v>9783110758870</v>
      </c>
    </row>
    <row r="8555" spans="1:4" x14ac:dyDescent="0.25">
      <c r="A8555" s="7" t="s">
        <v>10952</v>
      </c>
      <c r="B8555" s="8" t="s">
        <v>10953</v>
      </c>
      <c r="C8555" s="8" t="s">
        <v>9138</v>
      </c>
      <c r="D8555" s="8" t="str">
        <f>"9780520972117"</f>
        <v>9780520972117</v>
      </c>
    </row>
    <row r="8556" spans="1:4" x14ac:dyDescent="0.25">
      <c r="A8556" s="7" t="s">
        <v>12546</v>
      </c>
      <c r="B8556" s="8" t="s">
        <v>12547</v>
      </c>
      <c r="C8556" s="8" t="s">
        <v>2082</v>
      </c>
      <c r="D8556" s="8" t="str">
        <f>"9780472902972"</f>
        <v>9780472902972</v>
      </c>
    </row>
    <row r="8557" spans="1:4" x14ac:dyDescent="0.25">
      <c r="A8557" s="7" t="s">
        <v>16245</v>
      </c>
      <c r="B8557" s="8" t="s">
        <v>16246</v>
      </c>
      <c r="C8557" s="8" t="s">
        <v>1865</v>
      </c>
      <c r="D8557" s="8" t="str">
        <f>"9789175197760"</f>
        <v>9789175197760</v>
      </c>
    </row>
    <row r="8558" spans="1:4" x14ac:dyDescent="0.25">
      <c r="A8558" s="7" t="s">
        <v>10487</v>
      </c>
      <c r="B8558" s="8" t="s">
        <v>10488</v>
      </c>
      <c r="C8558" s="8" t="s">
        <v>993</v>
      </c>
      <c r="D8558" s="8" t="str">
        <f>"9783839457931"</f>
        <v>9783839457931</v>
      </c>
    </row>
    <row r="8559" spans="1:4" x14ac:dyDescent="0.25">
      <c r="A8559" s="7" t="s">
        <v>5722</v>
      </c>
      <c r="B8559" s="8" t="s">
        <v>5723</v>
      </c>
      <c r="C8559" s="8" t="s">
        <v>5134</v>
      </c>
      <c r="D8559" s="8" t="str">
        <f>"9783662559185"</f>
        <v>9783662559185</v>
      </c>
    </row>
    <row r="8560" spans="1:4" x14ac:dyDescent="0.25">
      <c r="A8560" s="7" t="s">
        <v>12071</v>
      </c>
      <c r="B8560" s="8" t="s">
        <v>12072</v>
      </c>
      <c r="C8560" s="8" t="s">
        <v>355</v>
      </c>
      <c r="D8560" s="8" t="str">
        <f>"9783110752748"</f>
        <v>9783110752748</v>
      </c>
    </row>
    <row r="8561" spans="1:4" ht="30" x14ac:dyDescent="0.25">
      <c r="A8561" s="7" t="s">
        <v>11040</v>
      </c>
      <c r="B8561" s="8" t="s">
        <v>1924</v>
      </c>
      <c r="C8561" s="8" t="s">
        <v>1879</v>
      </c>
      <c r="D8561" s="8" t="str">
        <f>"9781783744633"</f>
        <v>9781783744633</v>
      </c>
    </row>
    <row r="8562" spans="1:4" x14ac:dyDescent="0.25">
      <c r="A8562" s="7" t="s">
        <v>5992</v>
      </c>
      <c r="B8562" s="8" t="s">
        <v>5993</v>
      </c>
      <c r="C8562" s="8" t="s">
        <v>2273</v>
      </c>
      <c r="D8562" s="8" t="str">
        <f>"9783319446967"</f>
        <v>9783319446967</v>
      </c>
    </row>
    <row r="8563" spans="1:4" x14ac:dyDescent="0.25">
      <c r="A8563" s="7" t="s">
        <v>4415</v>
      </c>
      <c r="B8563" s="8" t="s">
        <v>4416</v>
      </c>
      <c r="C8563" s="8" t="s">
        <v>1879</v>
      </c>
      <c r="D8563" s="8" t="str">
        <f>"9781783746507"</f>
        <v>9781783746507</v>
      </c>
    </row>
    <row r="8564" spans="1:4" x14ac:dyDescent="0.25">
      <c r="A8564" s="7" t="s">
        <v>965</v>
      </c>
      <c r="B8564" s="8" t="s">
        <v>966</v>
      </c>
      <c r="C8564" s="8" t="s">
        <v>355</v>
      </c>
      <c r="D8564" s="8" t="str">
        <f>"9783110417593"</f>
        <v>9783110417593</v>
      </c>
    </row>
    <row r="8565" spans="1:4" ht="30" x14ac:dyDescent="0.25">
      <c r="A8565" s="7" t="s">
        <v>8590</v>
      </c>
      <c r="B8565" s="8" t="s">
        <v>8591</v>
      </c>
      <c r="C8565" s="8" t="s">
        <v>1865</v>
      </c>
      <c r="D8565" s="8" t="str">
        <f>"9789179290979"</f>
        <v>9789179290979</v>
      </c>
    </row>
    <row r="8566" spans="1:4" x14ac:dyDescent="0.25">
      <c r="A8566" s="7" t="s">
        <v>1892</v>
      </c>
      <c r="B8566" s="8" t="s">
        <v>1893</v>
      </c>
      <c r="C8566" s="8" t="s">
        <v>1879</v>
      </c>
      <c r="D8566" s="8" t="str">
        <f>"9781906924355"</f>
        <v>9781906924355</v>
      </c>
    </row>
    <row r="8567" spans="1:4" x14ac:dyDescent="0.25">
      <c r="A8567" s="7" t="s">
        <v>16231</v>
      </c>
      <c r="B8567" s="8" t="s">
        <v>2841</v>
      </c>
      <c r="C8567" s="8" t="s">
        <v>1865</v>
      </c>
      <c r="D8567" s="8" t="str">
        <f>"9789175195308"</f>
        <v>9789175195308</v>
      </c>
    </row>
    <row r="8568" spans="1:4" ht="30" x14ac:dyDescent="0.25">
      <c r="A8568" s="7" t="s">
        <v>15558</v>
      </c>
      <c r="B8568" s="8" t="s">
        <v>15559</v>
      </c>
      <c r="C8568" s="8" t="s">
        <v>1865</v>
      </c>
      <c r="D8568" s="8" t="str">
        <f>"9789176853160"</f>
        <v>9789176853160</v>
      </c>
    </row>
    <row r="8569" spans="1:4" ht="30" x14ac:dyDescent="0.25">
      <c r="A8569" s="7" t="s">
        <v>15753</v>
      </c>
      <c r="B8569" s="8" t="s">
        <v>7317</v>
      </c>
      <c r="C8569" s="8" t="s">
        <v>1865</v>
      </c>
      <c r="D8569" s="8" t="str">
        <f>"9789176850992"</f>
        <v>9789176850992</v>
      </c>
    </row>
    <row r="8570" spans="1:4" x14ac:dyDescent="0.25">
      <c r="A8570" s="7" t="s">
        <v>9251</v>
      </c>
      <c r="B8570" s="8" t="s">
        <v>9252</v>
      </c>
      <c r="C8570" s="8" t="s">
        <v>2273</v>
      </c>
      <c r="D8570" s="8" t="str">
        <f>"9783030945800"</f>
        <v>9783030945800</v>
      </c>
    </row>
    <row r="8571" spans="1:4" ht="30" x14ac:dyDescent="0.25">
      <c r="A8571" s="7" t="s">
        <v>12289</v>
      </c>
      <c r="B8571" s="8" t="s">
        <v>12290</v>
      </c>
      <c r="C8571" s="8" t="s">
        <v>993</v>
      </c>
      <c r="D8571" s="8" t="str">
        <f>"9783839459294"</f>
        <v>9783839459294</v>
      </c>
    </row>
    <row r="8572" spans="1:4" ht="30" x14ac:dyDescent="0.25">
      <c r="A8572" s="7" t="s">
        <v>12360</v>
      </c>
      <c r="B8572" s="8" t="s">
        <v>12361</v>
      </c>
      <c r="C8572" s="8" t="s">
        <v>993</v>
      </c>
      <c r="D8572" s="8" t="str">
        <f>"9783839463444"</f>
        <v>9783839463444</v>
      </c>
    </row>
    <row r="8573" spans="1:4" x14ac:dyDescent="0.25">
      <c r="A8573" s="7" t="s">
        <v>13735</v>
      </c>
      <c r="B8573" s="8" t="s">
        <v>13736</v>
      </c>
      <c r="C8573" s="8" t="s">
        <v>993</v>
      </c>
      <c r="D8573" s="8" t="str">
        <f>"9783839465240"</f>
        <v>9783839465240</v>
      </c>
    </row>
    <row r="8574" spans="1:4" x14ac:dyDescent="0.25">
      <c r="A8574" s="7" t="s">
        <v>12327</v>
      </c>
      <c r="B8574" s="8" t="s">
        <v>12328</v>
      </c>
      <c r="C8574" s="8" t="s">
        <v>993</v>
      </c>
      <c r="D8574" s="8" t="str">
        <f>"9783839461495"</f>
        <v>9783839461495</v>
      </c>
    </row>
    <row r="8575" spans="1:4" ht="30" x14ac:dyDescent="0.25">
      <c r="A8575" s="7" t="s">
        <v>10560</v>
      </c>
      <c r="B8575" s="8" t="s">
        <v>10561</v>
      </c>
      <c r="C8575" s="8" t="s">
        <v>993</v>
      </c>
      <c r="D8575" s="8" t="str">
        <f>"9783839459805"</f>
        <v>9783839459805</v>
      </c>
    </row>
    <row r="8576" spans="1:4" ht="30" x14ac:dyDescent="0.25">
      <c r="A8576" s="7" t="s">
        <v>9975</v>
      </c>
      <c r="B8576" s="8" t="s">
        <v>9976</v>
      </c>
      <c r="C8576" s="8" t="s">
        <v>993</v>
      </c>
      <c r="D8576" s="8" t="str">
        <f>"9783839409268"</f>
        <v>9783839409268</v>
      </c>
    </row>
    <row r="8577" spans="1:4" ht="30" x14ac:dyDescent="0.25">
      <c r="A8577" s="7" t="s">
        <v>9773</v>
      </c>
      <c r="B8577" s="8" t="s">
        <v>9774</v>
      </c>
      <c r="C8577" s="8" t="s">
        <v>993</v>
      </c>
      <c r="D8577" s="8" t="str">
        <f>"9783839404362"</f>
        <v>9783839404362</v>
      </c>
    </row>
    <row r="8578" spans="1:4" ht="30" x14ac:dyDescent="0.25">
      <c r="A8578" s="7" t="s">
        <v>8349</v>
      </c>
      <c r="B8578" s="8" t="s">
        <v>8350</v>
      </c>
      <c r="C8578" s="8" t="s">
        <v>993</v>
      </c>
      <c r="D8578" s="8" t="str">
        <f>"9783839457849"</f>
        <v>9783839457849</v>
      </c>
    </row>
    <row r="8579" spans="1:4" ht="45" x14ac:dyDescent="0.25">
      <c r="A8579" s="7" t="s">
        <v>1667</v>
      </c>
      <c r="B8579" s="8" t="s">
        <v>1668</v>
      </c>
      <c r="C8579" s="8" t="s">
        <v>1345</v>
      </c>
      <c r="D8579" s="8" t="str">
        <f>"9783862192175"</f>
        <v>9783862192175</v>
      </c>
    </row>
    <row r="8580" spans="1:4" x14ac:dyDescent="0.25">
      <c r="A8580" s="7" t="s">
        <v>11797</v>
      </c>
      <c r="B8580" s="8" t="s">
        <v>11798</v>
      </c>
      <c r="C8580" s="8" t="s">
        <v>355</v>
      </c>
      <c r="D8580" s="8" t="str">
        <f>"9783111480916"</f>
        <v>9783111480916</v>
      </c>
    </row>
    <row r="8581" spans="1:4" ht="30" x14ac:dyDescent="0.25">
      <c r="A8581" s="7" t="s">
        <v>8926</v>
      </c>
      <c r="B8581" s="8" t="s">
        <v>8927</v>
      </c>
      <c r="C8581" s="8" t="s">
        <v>5086</v>
      </c>
      <c r="D8581" s="8" t="str">
        <f>"9783658360382"</f>
        <v>9783658360382</v>
      </c>
    </row>
    <row r="8582" spans="1:4" ht="30" x14ac:dyDescent="0.25">
      <c r="A8582" s="7" t="s">
        <v>6058</v>
      </c>
      <c r="B8582" s="8" t="s">
        <v>6059</v>
      </c>
      <c r="C8582" s="8" t="s">
        <v>5086</v>
      </c>
      <c r="D8582" s="8" t="str">
        <f>"9783658125332"</f>
        <v>9783658125332</v>
      </c>
    </row>
    <row r="8583" spans="1:4" x14ac:dyDescent="0.25">
      <c r="A8583" s="7" t="s">
        <v>7105</v>
      </c>
      <c r="B8583" s="8" t="s">
        <v>106</v>
      </c>
      <c r="C8583" s="8" t="s">
        <v>355</v>
      </c>
      <c r="D8583" s="8" t="str">
        <f>"9783110692174"</f>
        <v>9783110692174</v>
      </c>
    </row>
    <row r="8584" spans="1:4" x14ac:dyDescent="0.25">
      <c r="A8584" s="7" t="s">
        <v>11396</v>
      </c>
      <c r="B8584" s="8" t="s">
        <v>11397</v>
      </c>
      <c r="C8584" s="8" t="s">
        <v>355</v>
      </c>
      <c r="D8584" s="8" t="str">
        <f>"9783111496382"</f>
        <v>9783111496382</v>
      </c>
    </row>
    <row r="8585" spans="1:4" x14ac:dyDescent="0.25">
      <c r="A8585" s="7" t="s">
        <v>6701</v>
      </c>
      <c r="B8585" s="8" t="s">
        <v>6702</v>
      </c>
      <c r="C8585" s="8" t="s">
        <v>2082</v>
      </c>
      <c r="D8585" s="8" t="str">
        <f>"9780472900534"</f>
        <v>9780472900534</v>
      </c>
    </row>
    <row r="8586" spans="1:4" x14ac:dyDescent="0.25">
      <c r="A8586" s="7" t="s">
        <v>2290</v>
      </c>
      <c r="B8586" s="8" t="s">
        <v>2291</v>
      </c>
      <c r="C8586" s="8" t="s">
        <v>355</v>
      </c>
      <c r="D8586" s="8" t="str">
        <f>"9783110376357"</f>
        <v>9783110376357</v>
      </c>
    </row>
    <row r="8587" spans="1:4" x14ac:dyDescent="0.25">
      <c r="A8587" s="7" t="s">
        <v>8224</v>
      </c>
      <c r="B8587" s="8" t="s">
        <v>8225</v>
      </c>
      <c r="C8587" s="8" t="s">
        <v>993</v>
      </c>
      <c r="D8587" s="8" t="str">
        <f>"9783839456453"</f>
        <v>9783839456453</v>
      </c>
    </row>
    <row r="8588" spans="1:4" x14ac:dyDescent="0.25">
      <c r="A8588" s="7" t="s">
        <v>10850</v>
      </c>
      <c r="B8588" s="8" t="s">
        <v>10851</v>
      </c>
      <c r="C8588" s="8" t="s">
        <v>2273</v>
      </c>
      <c r="D8588" s="8" t="str">
        <f>"9783030870454"</f>
        <v>9783030870454</v>
      </c>
    </row>
    <row r="8589" spans="1:4" x14ac:dyDescent="0.25">
      <c r="A8589" s="7" t="s">
        <v>3327</v>
      </c>
      <c r="B8589" s="8" t="s">
        <v>3328</v>
      </c>
      <c r="C8589" s="8" t="s">
        <v>355</v>
      </c>
      <c r="D8589" s="8" t="str">
        <f>"9783110534511"</f>
        <v>9783110534511</v>
      </c>
    </row>
    <row r="8590" spans="1:4" x14ac:dyDescent="0.25">
      <c r="A8590" s="7" t="s">
        <v>9171</v>
      </c>
      <c r="B8590" s="8" t="s">
        <v>4214</v>
      </c>
      <c r="C8590" s="8" t="s">
        <v>1879</v>
      </c>
      <c r="D8590" s="8" t="str">
        <f>"9781800643284"</f>
        <v>9781800643284</v>
      </c>
    </row>
    <row r="8591" spans="1:4" x14ac:dyDescent="0.25">
      <c r="A8591" s="7" t="s">
        <v>11772</v>
      </c>
      <c r="B8591" s="8" t="s">
        <v>11773</v>
      </c>
      <c r="C8591" s="8" t="s">
        <v>355</v>
      </c>
      <c r="D8591" s="8" t="str">
        <f>"9783486754476"</f>
        <v>9783486754476</v>
      </c>
    </row>
    <row r="8592" spans="1:4" x14ac:dyDescent="0.25">
      <c r="A8592" s="7" t="s">
        <v>7623</v>
      </c>
      <c r="B8592" s="8" t="s">
        <v>75</v>
      </c>
      <c r="C8592" s="8" t="s">
        <v>993</v>
      </c>
      <c r="D8592" s="8" t="str">
        <f>"9783839423110"</f>
        <v>9783839423110</v>
      </c>
    </row>
    <row r="8593" spans="1:4" x14ac:dyDescent="0.25">
      <c r="A8593" s="7" t="s">
        <v>4038</v>
      </c>
      <c r="B8593" s="8" t="s">
        <v>4039</v>
      </c>
      <c r="C8593" s="8" t="s">
        <v>355</v>
      </c>
      <c r="D8593" s="8" t="str">
        <f>"9783110550672"</f>
        <v>9783110550672</v>
      </c>
    </row>
    <row r="8594" spans="1:4" x14ac:dyDescent="0.25">
      <c r="A8594" s="7" t="s">
        <v>6438</v>
      </c>
      <c r="B8594" s="8" t="s">
        <v>6439</v>
      </c>
      <c r="C8594" s="8" t="s">
        <v>1865</v>
      </c>
      <c r="D8594" s="8" t="str">
        <f>"9789179297541"</f>
        <v>9789179297541</v>
      </c>
    </row>
    <row r="8595" spans="1:4" ht="30" x14ac:dyDescent="0.25">
      <c r="A8595" s="7" t="s">
        <v>3794</v>
      </c>
      <c r="B8595" s="8" t="s">
        <v>3795</v>
      </c>
      <c r="C8595" s="8" t="s">
        <v>355</v>
      </c>
      <c r="D8595" s="8" t="str">
        <f>"9783110563436"</f>
        <v>9783110563436</v>
      </c>
    </row>
    <row r="8596" spans="1:4" ht="30" x14ac:dyDescent="0.25">
      <c r="A8596" s="7" t="s">
        <v>1477</v>
      </c>
      <c r="B8596" s="8" t="s">
        <v>1478</v>
      </c>
      <c r="C8596" s="8" t="s">
        <v>1345</v>
      </c>
      <c r="D8596" s="8" t="str">
        <f>"9783899588651"</f>
        <v>9783899588651</v>
      </c>
    </row>
    <row r="8597" spans="1:4" x14ac:dyDescent="0.25">
      <c r="A8597" s="7" t="s">
        <v>1691</v>
      </c>
      <c r="B8597" s="8" t="s">
        <v>1692</v>
      </c>
      <c r="C8597" s="8" t="s">
        <v>1345</v>
      </c>
      <c r="D8597" s="8" t="str">
        <f>"9783862190799"</f>
        <v>9783862190799</v>
      </c>
    </row>
    <row r="8598" spans="1:4" x14ac:dyDescent="0.25">
      <c r="A8598" s="7" t="s">
        <v>2117</v>
      </c>
      <c r="B8598" s="8" t="s">
        <v>2118</v>
      </c>
      <c r="C8598" s="8" t="s">
        <v>1345</v>
      </c>
      <c r="D8598" s="8" t="str">
        <f>"9783862199891"</f>
        <v>9783862199891</v>
      </c>
    </row>
    <row r="8599" spans="1:4" ht="30" x14ac:dyDescent="0.25">
      <c r="A8599" s="7" t="s">
        <v>5540</v>
      </c>
      <c r="B8599" s="8" t="s">
        <v>5541</v>
      </c>
      <c r="C8599" s="8" t="s">
        <v>5086</v>
      </c>
      <c r="D8599" s="8" t="str">
        <f>"9783658309206"</f>
        <v>9783658309206</v>
      </c>
    </row>
    <row r="8600" spans="1:4" ht="30" x14ac:dyDescent="0.25">
      <c r="A8600" s="7" t="s">
        <v>4031</v>
      </c>
      <c r="B8600" s="8" t="s">
        <v>4032</v>
      </c>
      <c r="C8600" s="8" t="s">
        <v>355</v>
      </c>
      <c r="D8600" s="8" t="str">
        <f>"9783110570557"</f>
        <v>9783110570557</v>
      </c>
    </row>
    <row r="8601" spans="1:4" ht="30" x14ac:dyDescent="0.25">
      <c r="A8601" s="7" t="s">
        <v>4310</v>
      </c>
      <c r="B8601" s="8" t="s">
        <v>4311</v>
      </c>
      <c r="C8601" s="8" t="s">
        <v>1345</v>
      </c>
      <c r="D8601" s="8" t="str">
        <f>"9783737606158"</f>
        <v>9783737606158</v>
      </c>
    </row>
    <row r="8602" spans="1:4" x14ac:dyDescent="0.25">
      <c r="A8602" s="7" t="s">
        <v>12849</v>
      </c>
      <c r="B8602" s="8" t="s">
        <v>12850</v>
      </c>
      <c r="C8602" s="8" t="s">
        <v>12712</v>
      </c>
      <c r="D8602" s="8" t="str">
        <f>"9783428435807"</f>
        <v>9783428435807</v>
      </c>
    </row>
    <row r="8603" spans="1:4" ht="30" x14ac:dyDescent="0.25">
      <c r="A8603" s="7" t="s">
        <v>12728</v>
      </c>
      <c r="B8603" s="8" t="s">
        <v>12729</v>
      </c>
      <c r="C8603" s="8" t="s">
        <v>12712</v>
      </c>
      <c r="D8603" s="8" t="str">
        <f>"9783428403790"</f>
        <v>9783428403790</v>
      </c>
    </row>
    <row r="8604" spans="1:4" ht="30" x14ac:dyDescent="0.25">
      <c r="A8604" s="7" t="s">
        <v>12762</v>
      </c>
      <c r="B8604" s="8" t="s">
        <v>12729</v>
      </c>
      <c r="C8604" s="8" t="s">
        <v>12712</v>
      </c>
      <c r="D8604" s="8" t="str">
        <f>"9783428415700"</f>
        <v>9783428415700</v>
      </c>
    </row>
    <row r="8605" spans="1:4" ht="60" x14ac:dyDescent="0.25">
      <c r="A8605" s="7" t="s">
        <v>12752</v>
      </c>
      <c r="B8605" s="8" t="s">
        <v>12753</v>
      </c>
      <c r="C8605" s="8" t="s">
        <v>12712</v>
      </c>
      <c r="D8605" s="8" t="str">
        <f>"9783428414000"</f>
        <v>9783428414000</v>
      </c>
    </row>
    <row r="8606" spans="1:4" ht="30" x14ac:dyDescent="0.25">
      <c r="A8606" s="7" t="s">
        <v>3312</v>
      </c>
      <c r="B8606" s="8" t="s">
        <v>3313</v>
      </c>
      <c r="C8606" s="8" t="s">
        <v>1345</v>
      </c>
      <c r="D8606" s="8" t="str">
        <f>"9783862198139"</f>
        <v>9783862198139</v>
      </c>
    </row>
    <row r="8607" spans="1:4" x14ac:dyDescent="0.25">
      <c r="A8607" s="7" t="s">
        <v>9779</v>
      </c>
      <c r="B8607" s="8" t="s">
        <v>9780</v>
      </c>
      <c r="C8607" s="8" t="s">
        <v>993</v>
      </c>
      <c r="D8607" s="8" t="str">
        <f>"9783839404461"</f>
        <v>9783839404461</v>
      </c>
    </row>
    <row r="8608" spans="1:4" ht="30" x14ac:dyDescent="0.25">
      <c r="A8608" s="7" t="s">
        <v>1785</v>
      </c>
      <c r="B8608" s="8" t="s">
        <v>1786</v>
      </c>
      <c r="C8608" s="8" t="s">
        <v>1345</v>
      </c>
      <c r="D8608" s="8" t="str">
        <f>"9783862197552"</f>
        <v>9783862197552</v>
      </c>
    </row>
    <row r="8609" spans="1:4" ht="30" x14ac:dyDescent="0.25">
      <c r="A8609" s="7" t="s">
        <v>2359</v>
      </c>
      <c r="B8609" s="8" t="s">
        <v>2360</v>
      </c>
      <c r="C8609" s="8" t="s">
        <v>1345</v>
      </c>
      <c r="D8609" s="8" t="str">
        <f>"9783737600255"</f>
        <v>9783737600255</v>
      </c>
    </row>
    <row r="8610" spans="1:4" ht="30" x14ac:dyDescent="0.25">
      <c r="A8610" s="7" t="s">
        <v>9473</v>
      </c>
      <c r="B8610" s="8" t="s">
        <v>9474</v>
      </c>
      <c r="C8610" s="8" t="s">
        <v>5086</v>
      </c>
      <c r="D8610" s="8" t="str">
        <f>"9783658367046"</f>
        <v>9783658367046</v>
      </c>
    </row>
    <row r="8611" spans="1:4" ht="30" x14ac:dyDescent="0.25">
      <c r="A8611" s="7" t="s">
        <v>5647</v>
      </c>
      <c r="B8611" s="8" t="s">
        <v>5648</v>
      </c>
      <c r="C8611" s="8" t="s">
        <v>5134</v>
      </c>
      <c r="D8611" s="8" t="str">
        <f>"9783662594667"</f>
        <v>9783662594667</v>
      </c>
    </row>
    <row r="8612" spans="1:4" x14ac:dyDescent="0.25">
      <c r="A8612" s="7" t="s">
        <v>9698</v>
      </c>
      <c r="B8612" s="8" t="s">
        <v>9699</v>
      </c>
      <c r="C8612" s="8" t="s">
        <v>993</v>
      </c>
      <c r="D8612" s="8" t="str">
        <f>"9783839401965"</f>
        <v>9783839401965</v>
      </c>
    </row>
    <row r="8613" spans="1:4" ht="30" x14ac:dyDescent="0.25">
      <c r="A8613" s="7" t="s">
        <v>2919</v>
      </c>
      <c r="B8613" s="8" t="s">
        <v>2920</v>
      </c>
      <c r="C8613" s="8" t="s">
        <v>355</v>
      </c>
      <c r="D8613" s="8" t="str">
        <f>"9783110448115"</f>
        <v>9783110448115</v>
      </c>
    </row>
    <row r="8614" spans="1:4" ht="30" x14ac:dyDescent="0.25">
      <c r="A8614" s="7" t="s">
        <v>10023</v>
      </c>
      <c r="B8614" s="8" t="s">
        <v>10024</v>
      </c>
      <c r="C8614" s="8" t="s">
        <v>993</v>
      </c>
      <c r="D8614" s="8" t="str">
        <f>"9783839410530"</f>
        <v>9783839410530</v>
      </c>
    </row>
    <row r="8615" spans="1:4" x14ac:dyDescent="0.25">
      <c r="A8615" s="7" t="s">
        <v>1459</v>
      </c>
      <c r="B8615" s="8" t="s">
        <v>1460</v>
      </c>
      <c r="C8615" s="8" t="s">
        <v>1345</v>
      </c>
      <c r="D8615" s="8" t="str">
        <f>"9783862192373"</f>
        <v>9783862192373</v>
      </c>
    </row>
    <row r="8616" spans="1:4" x14ac:dyDescent="0.25">
      <c r="A8616" s="7" t="s">
        <v>367</v>
      </c>
      <c r="B8616" s="8" t="s">
        <v>368</v>
      </c>
      <c r="C8616" s="8" t="s">
        <v>227</v>
      </c>
      <c r="D8616" s="8" t="str">
        <f>"9781847790996"</f>
        <v>9781847790996</v>
      </c>
    </row>
    <row r="8617" spans="1:4" x14ac:dyDescent="0.25">
      <c r="A8617" s="7" t="s">
        <v>226</v>
      </c>
      <c r="B8617" s="8" t="s">
        <v>228</v>
      </c>
      <c r="C8617" s="8" t="s">
        <v>227</v>
      </c>
      <c r="D8617" s="8" t="str">
        <f>"9781847790248"</f>
        <v>9781847790248</v>
      </c>
    </row>
    <row r="8618" spans="1:4" x14ac:dyDescent="0.25">
      <c r="A8618" s="7" t="s">
        <v>10780</v>
      </c>
      <c r="B8618" s="8" t="s">
        <v>10781</v>
      </c>
      <c r="C8618" s="8" t="s">
        <v>1876</v>
      </c>
      <c r="D8618" s="8" t="str">
        <f>"9781922235527"</f>
        <v>9781922235527</v>
      </c>
    </row>
    <row r="8619" spans="1:4" x14ac:dyDescent="0.25">
      <c r="A8619" s="7" t="s">
        <v>4099</v>
      </c>
      <c r="B8619" s="8" t="s">
        <v>4100</v>
      </c>
      <c r="C8619" s="8" t="s">
        <v>1879</v>
      </c>
      <c r="D8619" s="8" t="str">
        <f>"9781783745135"</f>
        <v>9781783745135</v>
      </c>
    </row>
    <row r="8620" spans="1:4" ht="30" x14ac:dyDescent="0.25">
      <c r="A8620" s="7" t="s">
        <v>14942</v>
      </c>
      <c r="B8620" s="8" t="s">
        <v>14943</v>
      </c>
      <c r="C8620" s="8" t="s">
        <v>1865</v>
      </c>
      <c r="D8620" s="8" t="str">
        <f>"9789175193144"</f>
        <v>9789175193144</v>
      </c>
    </row>
    <row r="8621" spans="1:4" ht="30" x14ac:dyDescent="0.25">
      <c r="A8621" s="7" t="s">
        <v>14113</v>
      </c>
      <c r="B8621" s="8" t="s">
        <v>14114</v>
      </c>
      <c r="C8621" s="8" t="s">
        <v>2785</v>
      </c>
      <c r="D8621" s="8" t="str">
        <f>"9789811945670"</f>
        <v>9789811945670</v>
      </c>
    </row>
    <row r="8622" spans="1:4" x14ac:dyDescent="0.25">
      <c r="A8622" s="7" t="s">
        <v>10968</v>
      </c>
      <c r="B8622" s="8" t="s">
        <v>10969</v>
      </c>
      <c r="C8622" s="8" t="s">
        <v>9138</v>
      </c>
      <c r="D8622" s="8" t="str">
        <f>"9780520973688"</f>
        <v>9780520973688</v>
      </c>
    </row>
    <row r="8623" spans="1:4" ht="30" x14ac:dyDescent="0.25">
      <c r="A8623" s="7" t="s">
        <v>688</v>
      </c>
      <c r="B8623" s="8" t="s">
        <v>8</v>
      </c>
      <c r="C8623" s="8" t="s">
        <v>316</v>
      </c>
      <c r="D8623" s="8" t="str">
        <f>"9783110328462"</f>
        <v>9783110328462</v>
      </c>
    </row>
    <row r="8624" spans="1:4" x14ac:dyDescent="0.25">
      <c r="A8624" s="7" t="s">
        <v>672</v>
      </c>
      <c r="B8624" s="8" t="s">
        <v>673</v>
      </c>
      <c r="C8624" s="8" t="s">
        <v>316</v>
      </c>
      <c r="D8624" s="8" t="str">
        <f>"9783110329490"</f>
        <v>9783110329490</v>
      </c>
    </row>
    <row r="8625" spans="1:4" x14ac:dyDescent="0.25">
      <c r="A8625" s="7" t="s">
        <v>663</v>
      </c>
      <c r="B8625" s="8" t="s">
        <v>8</v>
      </c>
      <c r="C8625" s="8" t="s">
        <v>316</v>
      </c>
      <c r="D8625" s="8" t="str">
        <f>"9783110328912"</f>
        <v>9783110328912</v>
      </c>
    </row>
    <row r="8626" spans="1:4" ht="30" x14ac:dyDescent="0.25">
      <c r="A8626" s="7" t="s">
        <v>679</v>
      </c>
      <c r="B8626" s="8" t="s">
        <v>680</v>
      </c>
      <c r="C8626" s="8" t="s">
        <v>316</v>
      </c>
      <c r="D8626" s="8" t="str">
        <f>"9783110328509"</f>
        <v>9783110328509</v>
      </c>
    </row>
    <row r="8627" spans="1:4" ht="30" x14ac:dyDescent="0.25">
      <c r="A8627" s="7" t="s">
        <v>10885</v>
      </c>
      <c r="B8627" s="8" t="s">
        <v>10886</v>
      </c>
      <c r="C8627" s="8" t="s">
        <v>5086</v>
      </c>
      <c r="D8627" s="8" t="str">
        <f>"9783658357443"</f>
        <v>9783658357443</v>
      </c>
    </row>
    <row r="8628" spans="1:4" x14ac:dyDescent="0.25">
      <c r="A8628" s="7" t="s">
        <v>10878</v>
      </c>
      <c r="B8628" s="8" t="s">
        <v>10879</v>
      </c>
      <c r="C8628" s="8" t="s">
        <v>5086</v>
      </c>
      <c r="D8628" s="8" t="str">
        <f>"9783658343866"</f>
        <v>9783658343866</v>
      </c>
    </row>
    <row r="8629" spans="1:4" x14ac:dyDescent="0.25">
      <c r="A8629" s="7" t="s">
        <v>11862</v>
      </c>
      <c r="B8629" s="8" t="s">
        <v>11863</v>
      </c>
      <c r="C8629" s="8" t="s">
        <v>355</v>
      </c>
      <c r="D8629" s="8" t="str">
        <f>"9783111600765"</f>
        <v>9783111600765</v>
      </c>
    </row>
    <row r="8630" spans="1:4" x14ac:dyDescent="0.25">
      <c r="A8630" s="7" t="s">
        <v>4413</v>
      </c>
      <c r="B8630" s="8" t="s">
        <v>4414</v>
      </c>
      <c r="C8630" s="8" t="s">
        <v>1879</v>
      </c>
      <c r="D8630" s="8" t="str">
        <f>"9781783745678"</f>
        <v>9781783745678</v>
      </c>
    </row>
    <row r="8631" spans="1:4" x14ac:dyDescent="0.25">
      <c r="A8631" s="7" t="s">
        <v>14365</v>
      </c>
      <c r="B8631" s="8" t="s">
        <v>14366</v>
      </c>
      <c r="C8631" s="8" t="s">
        <v>1879</v>
      </c>
      <c r="D8631" s="8" t="str">
        <f>"9781800647107"</f>
        <v>9781800647107</v>
      </c>
    </row>
    <row r="8632" spans="1:4" ht="30" x14ac:dyDescent="0.25">
      <c r="A8632" s="7" t="s">
        <v>12684</v>
      </c>
      <c r="B8632" s="8" t="s">
        <v>12685</v>
      </c>
      <c r="C8632" s="8" t="s">
        <v>993</v>
      </c>
      <c r="D8632" s="8" t="str">
        <f>"9783839456309"</f>
        <v>9783839456309</v>
      </c>
    </row>
    <row r="8633" spans="1:4" ht="30" x14ac:dyDescent="0.25">
      <c r="A8633" s="7" t="s">
        <v>576</v>
      </c>
      <c r="B8633" s="8" t="s">
        <v>577</v>
      </c>
      <c r="C8633" s="8" t="s">
        <v>562</v>
      </c>
      <c r="D8633" s="8" t="str">
        <f>"9780822389460"</f>
        <v>9780822389460</v>
      </c>
    </row>
    <row r="8634" spans="1:4" ht="30" x14ac:dyDescent="0.25">
      <c r="A8634" s="7" t="s">
        <v>14492</v>
      </c>
      <c r="B8634" s="8" t="s">
        <v>14493</v>
      </c>
      <c r="C8634" s="8" t="s">
        <v>1865</v>
      </c>
      <c r="D8634" s="8" t="str">
        <f>"9789179292317"</f>
        <v>9789179292317</v>
      </c>
    </row>
    <row r="8635" spans="1:4" x14ac:dyDescent="0.25">
      <c r="A8635" s="7" t="s">
        <v>1910</v>
      </c>
      <c r="B8635" s="8" t="s">
        <v>1911</v>
      </c>
      <c r="C8635" s="8" t="s">
        <v>1879</v>
      </c>
      <c r="D8635" s="8" t="str">
        <f>"9781906924676"</f>
        <v>9781906924676</v>
      </c>
    </row>
    <row r="8636" spans="1:4" ht="30" x14ac:dyDescent="0.25">
      <c r="A8636" s="7" t="s">
        <v>11142</v>
      </c>
      <c r="B8636" s="8" t="s">
        <v>11143</v>
      </c>
      <c r="C8636" s="8" t="s">
        <v>2274</v>
      </c>
      <c r="D8636" s="8" t="str">
        <f>"9789811915529"</f>
        <v>9789811915529</v>
      </c>
    </row>
    <row r="8637" spans="1:4" x14ac:dyDescent="0.25">
      <c r="A8637" s="7" t="s">
        <v>2719</v>
      </c>
      <c r="B8637" s="8" t="s">
        <v>2720</v>
      </c>
      <c r="C8637" s="8" t="s">
        <v>316</v>
      </c>
      <c r="D8637" s="8" t="str">
        <f>"9781614512639"</f>
        <v>9781614512639</v>
      </c>
    </row>
    <row r="8638" spans="1:4" x14ac:dyDescent="0.25">
      <c r="A8638" s="7" t="s">
        <v>3503</v>
      </c>
      <c r="B8638" s="8" t="s">
        <v>3504</v>
      </c>
      <c r="C8638" s="8" t="s">
        <v>329</v>
      </c>
      <c r="D8638" s="8" t="str">
        <f>"9789048524518"</f>
        <v>9789048524518</v>
      </c>
    </row>
    <row r="8639" spans="1:4" x14ac:dyDescent="0.25">
      <c r="A8639" s="7" t="s">
        <v>9482</v>
      </c>
      <c r="B8639" s="8" t="s">
        <v>9483</v>
      </c>
      <c r="C8639" s="8" t="s">
        <v>2273</v>
      </c>
      <c r="D8639" s="8" t="str">
        <f>"9783030920920"</f>
        <v>9783030920920</v>
      </c>
    </row>
    <row r="8640" spans="1:4" x14ac:dyDescent="0.25">
      <c r="A8640" s="7" t="s">
        <v>10784</v>
      </c>
      <c r="B8640" s="8" t="s">
        <v>10785</v>
      </c>
      <c r="C8640" s="8" t="s">
        <v>1876</v>
      </c>
      <c r="D8640" s="8" t="str">
        <f>"9781925377033"</f>
        <v>9781925377033</v>
      </c>
    </row>
    <row r="8641" spans="1:4" x14ac:dyDescent="0.25">
      <c r="A8641" s="7" t="s">
        <v>612</v>
      </c>
      <c r="B8641" s="8" t="s">
        <v>613</v>
      </c>
      <c r="C8641" s="8" t="s">
        <v>562</v>
      </c>
      <c r="D8641" s="8" t="str">
        <f>"9780822392088"</f>
        <v>9780822392088</v>
      </c>
    </row>
    <row r="8642" spans="1:4" x14ac:dyDescent="0.25">
      <c r="A8642" s="7" t="s">
        <v>291</v>
      </c>
      <c r="B8642" s="8" t="s">
        <v>292</v>
      </c>
      <c r="C8642" s="8" t="s">
        <v>227</v>
      </c>
      <c r="D8642" s="8" t="str">
        <f>"9781847790262"</f>
        <v>9781847790262</v>
      </c>
    </row>
    <row r="8643" spans="1:4" x14ac:dyDescent="0.25">
      <c r="A8643" s="7" t="s">
        <v>2974</v>
      </c>
      <c r="B8643" s="8" t="s">
        <v>2975</v>
      </c>
      <c r="C8643" s="8" t="s">
        <v>1879</v>
      </c>
      <c r="D8643" s="8" t="str">
        <f>"9781783742905"</f>
        <v>9781783742905</v>
      </c>
    </row>
    <row r="8644" spans="1:4" x14ac:dyDescent="0.25">
      <c r="A8644" s="7" t="s">
        <v>2084</v>
      </c>
      <c r="B8644" s="8" t="s">
        <v>2085</v>
      </c>
      <c r="C8644" s="8" t="s">
        <v>1224</v>
      </c>
      <c r="D8644" s="8" t="str">
        <f>"9781618117090"</f>
        <v>9781618117090</v>
      </c>
    </row>
    <row r="8645" spans="1:4" x14ac:dyDescent="0.25">
      <c r="A8645" s="7" t="s">
        <v>11174</v>
      </c>
      <c r="B8645" s="8" t="s">
        <v>11175</v>
      </c>
      <c r="C8645" s="8" t="s">
        <v>316</v>
      </c>
      <c r="D8645" s="8" t="str">
        <f>"9783110440577"</f>
        <v>9783110440577</v>
      </c>
    </row>
    <row r="8646" spans="1:4" ht="30" x14ac:dyDescent="0.25">
      <c r="A8646" s="7" t="s">
        <v>15261</v>
      </c>
      <c r="B8646" s="8" t="s">
        <v>15262</v>
      </c>
      <c r="C8646" s="8" t="s">
        <v>1865</v>
      </c>
      <c r="D8646" s="8" t="str">
        <f>"9789179295424"</f>
        <v>9789179295424</v>
      </c>
    </row>
    <row r="8647" spans="1:4" x14ac:dyDescent="0.25">
      <c r="A8647" s="7" t="s">
        <v>8861</v>
      </c>
      <c r="B8647" s="8" t="s">
        <v>8862</v>
      </c>
      <c r="C8647" s="8" t="s">
        <v>1342</v>
      </c>
      <c r="D8647" s="8" t="str">
        <f>"9789633864180"</f>
        <v>9789633864180</v>
      </c>
    </row>
    <row r="8648" spans="1:4" x14ac:dyDescent="0.25">
      <c r="A8648" s="7" t="s">
        <v>5170</v>
      </c>
      <c r="B8648" s="8" t="s">
        <v>5171</v>
      </c>
      <c r="C8648" s="8" t="s">
        <v>2273</v>
      </c>
      <c r="D8648" s="8" t="str">
        <f>"9783030526733"</f>
        <v>9783030526733</v>
      </c>
    </row>
    <row r="8649" spans="1:4" x14ac:dyDescent="0.25">
      <c r="A8649" s="7" t="s">
        <v>13965</v>
      </c>
      <c r="B8649" s="8" t="s">
        <v>13966</v>
      </c>
      <c r="C8649" s="8" t="s">
        <v>2273</v>
      </c>
      <c r="D8649" s="8" t="str">
        <f>"9783031131059"</f>
        <v>9783031131059</v>
      </c>
    </row>
    <row r="8650" spans="1:4" x14ac:dyDescent="0.25">
      <c r="A8650" s="7" t="s">
        <v>15411</v>
      </c>
      <c r="B8650" s="8" t="s">
        <v>15412</v>
      </c>
      <c r="C8650" s="8" t="s">
        <v>1865</v>
      </c>
      <c r="D8650" s="8" t="str">
        <f>"9789175198958"</f>
        <v>9789175198958</v>
      </c>
    </row>
    <row r="8651" spans="1:4" ht="30" x14ac:dyDescent="0.25">
      <c r="A8651" s="7" t="s">
        <v>9218</v>
      </c>
      <c r="B8651" s="8" t="s">
        <v>9219</v>
      </c>
      <c r="C8651" s="8" t="s">
        <v>4882</v>
      </c>
      <c r="D8651" s="8" t="str">
        <f>"9781781384312"</f>
        <v>9781781384312</v>
      </c>
    </row>
    <row r="8652" spans="1:4" ht="30" x14ac:dyDescent="0.25">
      <c r="A8652" s="7" t="s">
        <v>7586</v>
      </c>
      <c r="B8652" s="8" t="s">
        <v>7587</v>
      </c>
      <c r="C8652" s="8" t="s">
        <v>993</v>
      </c>
      <c r="D8652" s="8" t="str">
        <f>"9783839415092"</f>
        <v>9783839415092</v>
      </c>
    </row>
    <row r="8653" spans="1:4" x14ac:dyDescent="0.25">
      <c r="A8653" s="7" t="s">
        <v>7523</v>
      </c>
      <c r="B8653" s="8" t="s">
        <v>111</v>
      </c>
      <c r="C8653" s="8" t="s">
        <v>993</v>
      </c>
      <c r="D8653" s="8" t="str">
        <f>"9783839410387"</f>
        <v>9783839410387</v>
      </c>
    </row>
    <row r="8654" spans="1:4" ht="30" x14ac:dyDescent="0.25">
      <c r="A8654" s="7" t="s">
        <v>10516</v>
      </c>
      <c r="B8654" s="8" t="s">
        <v>10517</v>
      </c>
      <c r="C8654" s="8" t="s">
        <v>993</v>
      </c>
      <c r="D8654" s="8" t="str">
        <f>"9783839458679"</f>
        <v>9783839458679</v>
      </c>
    </row>
    <row r="8655" spans="1:4" x14ac:dyDescent="0.25">
      <c r="A8655" s="7" t="s">
        <v>2161</v>
      </c>
      <c r="B8655" s="8" t="s">
        <v>2162</v>
      </c>
      <c r="C8655" s="8" t="s">
        <v>1053</v>
      </c>
      <c r="D8655" s="8" t="str">
        <f>"9780874218541"</f>
        <v>9780874218541</v>
      </c>
    </row>
    <row r="8656" spans="1:4" x14ac:dyDescent="0.25">
      <c r="A8656" s="7" t="s">
        <v>12103</v>
      </c>
      <c r="B8656" s="8" t="s">
        <v>12104</v>
      </c>
      <c r="C8656" s="8" t="s">
        <v>355</v>
      </c>
      <c r="D8656" s="8" t="str">
        <f>"9783110711349"</f>
        <v>9783110711349</v>
      </c>
    </row>
    <row r="8657" spans="1:4" x14ac:dyDescent="0.25">
      <c r="A8657" s="7" t="s">
        <v>6362</v>
      </c>
      <c r="B8657" s="8" t="s">
        <v>6363</v>
      </c>
      <c r="C8657" s="8" t="s">
        <v>4245</v>
      </c>
      <c r="D8657" s="8" t="str">
        <f>"9789811575983"</f>
        <v>9789811575983</v>
      </c>
    </row>
    <row r="8658" spans="1:4" ht="30" x14ac:dyDescent="0.25">
      <c r="A8658" s="7" t="s">
        <v>11197</v>
      </c>
      <c r="B8658" s="8" t="s">
        <v>4996</v>
      </c>
      <c r="C8658" s="8" t="s">
        <v>355</v>
      </c>
      <c r="D8658" s="8" t="str">
        <f>"9783110713015"</f>
        <v>9783110713015</v>
      </c>
    </row>
    <row r="8659" spans="1:4" x14ac:dyDescent="0.25">
      <c r="A8659" s="7" t="s">
        <v>7195</v>
      </c>
      <c r="B8659" s="8" t="s">
        <v>106</v>
      </c>
      <c r="C8659" s="8" t="s">
        <v>355</v>
      </c>
      <c r="D8659" s="8" t="str">
        <f>"9783110641134"</f>
        <v>9783110641134</v>
      </c>
    </row>
    <row r="8660" spans="1:4" x14ac:dyDescent="0.25">
      <c r="A8660" s="7" t="s">
        <v>3339</v>
      </c>
      <c r="B8660" s="8" t="s">
        <v>3340</v>
      </c>
      <c r="C8660" s="8" t="s">
        <v>1879</v>
      </c>
      <c r="D8660" s="8" t="str">
        <f>"9781783743704"</f>
        <v>9781783743704</v>
      </c>
    </row>
    <row r="8661" spans="1:4" x14ac:dyDescent="0.25">
      <c r="A8661" s="7" t="s">
        <v>2079</v>
      </c>
      <c r="B8661" s="8" t="s">
        <v>2080</v>
      </c>
      <c r="C8661" s="8" t="s">
        <v>2073</v>
      </c>
      <c r="D8661" s="8" t="str">
        <f>"9781438456096"</f>
        <v>9781438456096</v>
      </c>
    </row>
    <row r="8662" spans="1:4" x14ac:dyDescent="0.25">
      <c r="A8662" s="7" t="s">
        <v>8644</v>
      </c>
      <c r="B8662" s="8" t="s">
        <v>8645</v>
      </c>
      <c r="C8662" s="8" t="s">
        <v>2273</v>
      </c>
      <c r="D8662" s="8" t="str">
        <f>"9783030885137"</f>
        <v>9783030885137</v>
      </c>
    </row>
    <row r="8663" spans="1:4" x14ac:dyDescent="0.25">
      <c r="A8663" s="7" t="s">
        <v>640</v>
      </c>
      <c r="B8663" s="8" t="s">
        <v>565</v>
      </c>
      <c r="C8663" s="8" t="s">
        <v>562</v>
      </c>
      <c r="D8663" s="8" t="str">
        <f>"9780822394099"</f>
        <v>9780822394099</v>
      </c>
    </row>
    <row r="8664" spans="1:4" x14ac:dyDescent="0.25">
      <c r="A8664" s="7" t="s">
        <v>11718</v>
      </c>
      <c r="B8664" s="8" t="s">
        <v>11719</v>
      </c>
      <c r="C8664" s="8" t="s">
        <v>355</v>
      </c>
      <c r="D8664" s="8" t="str">
        <f>"9783110622768"</f>
        <v>9783110622768</v>
      </c>
    </row>
    <row r="8665" spans="1:4" x14ac:dyDescent="0.25">
      <c r="A8665" s="7" t="s">
        <v>7630</v>
      </c>
      <c r="B8665" s="8" t="s">
        <v>7631</v>
      </c>
      <c r="C8665" s="8" t="s">
        <v>993</v>
      </c>
      <c r="D8665" s="8" t="str">
        <f>"9783839423783"</f>
        <v>9783839423783</v>
      </c>
    </row>
    <row r="8666" spans="1:4" x14ac:dyDescent="0.25">
      <c r="A8666" s="7" t="s">
        <v>6963</v>
      </c>
      <c r="B8666" s="8" t="s">
        <v>6964</v>
      </c>
      <c r="C8666" s="8" t="s">
        <v>1879</v>
      </c>
      <c r="D8666" s="8" t="str">
        <f>"9781800640917"</f>
        <v>9781800640917</v>
      </c>
    </row>
    <row r="8667" spans="1:4" x14ac:dyDescent="0.25">
      <c r="A8667" s="7" t="s">
        <v>7148</v>
      </c>
      <c r="B8667" s="8" t="s">
        <v>7149</v>
      </c>
      <c r="C8667" s="8" t="s">
        <v>355</v>
      </c>
      <c r="D8667" s="8" t="str">
        <f>"9783110645446"</f>
        <v>9783110645446</v>
      </c>
    </row>
    <row r="8668" spans="1:4" x14ac:dyDescent="0.25">
      <c r="A8668" s="7" t="s">
        <v>8493</v>
      </c>
      <c r="B8668" s="8" t="s">
        <v>8494</v>
      </c>
      <c r="C8668" s="8" t="s">
        <v>993</v>
      </c>
      <c r="D8668" s="8" t="str">
        <f>"9783839437933"</f>
        <v>9783839437933</v>
      </c>
    </row>
    <row r="8669" spans="1:4" x14ac:dyDescent="0.25">
      <c r="A8669" s="7" t="s">
        <v>14083</v>
      </c>
      <c r="B8669" s="8" t="s">
        <v>120</v>
      </c>
      <c r="C8669" s="8" t="s">
        <v>993</v>
      </c>
      <c r="D8669" s="8" t="str">
        <f>"9783839462713"</f>
        <v>9783839462713</v>
      </c>
    </row>
    <row r="8670" spans="1:4" x14ac:dyDescent="0.25">
      <c r="A8670" s="7" t="s">
        <v>10788</v>
      </c>
      <c r="B8670" s="8" t="s">
        <v>10789</v>
      </c>
      <c r="C8670" s="8" t="s">
        <v>1876</v>
      </c>
      <c r="D8670" s="8" t="str">
        <f>"9781925377132"</f>
        <v>9781925377132</v>
      </c>
    </row>
    <row r="8671" spans="1:4" x14ac:dyDescent="0.25">
      <c r="A8671" s="7" t="s">
        <v>10733</v>
      </c>
      <c r="B8671" s="8" t="s">
        <v>10734</v>
      </c>
      <c r="C8671" s="8" t="s">
        <v>1876</v>
      </c>
      <c r="D8671" s="8" t="str">
        <f>"9780980464832"</f>
        <v>9780980464832</v>
      </c>
    </row>
    <row r="8672" spans="1:4" ht="30" x14ac:dyDescent="0.25">
      <c r="A8672" s="7" t="s">
        <v>6303</v>
      </c>
      <c r="B8672" s="8" t="s">
        <v>6304</v>
      </c>
      <c r="C8672" s="8" t="s">
        <v>2273</v>
      </c>
      <c r="D8672" s="8" t="str">
        <f>"9783030536145"</f>
        <v>9783030536145</v>
      </c>
    </row>
    <row r="8673" spans="1:4" ht="30" x14ac:dyDescent="0.25">
      <c r="A8673" s="7" t="s">
        <v>3866</v>
      </c>
      <c r="B8673" s="8" t="s">
        <v>3867</v>
      </c>
      <c r="C8673" s="8" t="s">
        <v>316</v>
      </c>
      <c r="D8673" s="8" t="str">
        <f>"9783110534597"</f>
        <v>9783110534597</v>
      </c>
    </row>
    <row r="8674" spans="1:4" x14ac:dyDescent="0.25">
      <c r="A8674" s="7" t="s">
        <v>12231</v>
      </c>
      <c r="B8674" s="8" t="s">
        <v>12232</v>
      </c>
      <c r="C8674" s="8" t="s">
        <v>316</v>
      </c>
      <c r="D8674" s="8" t="str">
        <f>"9783110757835"</f>
        <v>9783110757835</v>
      </c>
    </row>
    <row r="8675" spans="1:4" x14ac:dyDescent="0.25">
      <c r="A8675" s="7" t="s">
        <v>11251</v>
      </c>
      <c r="B8675" s="8" t="s">
        <v>11252</v>
      </c>
      <c r="C8675" s="8" t="s">
        <v>355</v>
      </c>
      <c r="D8675" s="8" t="str">
        <f>"9788366675308"</f>
        <v>9788366675308</v>
      </c>
    </row>
    <row r="8676" spans="1:4" x14ac:dyDescent="0.25">
      <c r="A8676" s="7" t="s">
        <v>5558</v>
      </c>
      <c r="B8676" s="8" t="s">
        <v>5559</v>
      </c>
      <c r="C8676" s="8" t="s">
        <v>4245</v>
      </c>
      <c r="D8676" s="8" t="str">
        <f>"9789811576836"</f>
        <v>9789811576836</v>
      </c>
    </row>
    <row r="8677" spans="1:4" x14ac:dyDescent="0.25">
      <c r="A8677" s="7" t="s">
        <v>9298</v>
      </c>
      <c r="B8677" s="8" t="s">
        <v>9299</v>
      </c>
      <c r="C8677" s="8" t="s">
        <v>9256</v>
      </c>
      <c r="D8677" s="8" t="str">
        <f>"9788021094246"</f>
        <v>9788021094246</v>
      </c>
    </row>
    <row r="8678" spans="1:4" x14ac:dyDescent="0.25">
      <c r="A8678" s="7" t="s">
        <v>9382</v>
      </c>
      <c r="B8678" s="8" t="s">
        <v>9299</v>
      </c>
      <c r="C8678" s="8" t="s">
        <v>9256</v>
      </c>
      <c r="D8678" s="8" t="str">
        <f>"9788021096905"</f>
        <v>9788021096905</v>
      </c>
    </row>
    <row r="8679" spans="1:4" x14ac:dyDescent="0.25">
      <c r="A8679" s="7" t="s">
        <v>9444</v>
      </c>
      <c r="B8679" s="8" t="s">
        <v>9299</v>
      </c>
      <c r="C8679" s="8" t="s">
        <v>9256</v>
      </c>
      <c r="D8679" s="8" t="str">
        <f>"9788021099272"</f>
        <v>9788021099272</v>
      </c>
    </row>
    <row r="8680" spans="1:4" x14ac:dyDescent="0.25">
      <c r="A8680" s="7" t="s">
        <v>14218</v>
      </c>
      <c r="B8680" s="8" t="s">
        <v>9299</v>
      </c>
      <c r="C8680" s="8" t="s">
        <v>9256</v>
      </c>
      <c r="D8680" s="8" t="str">
        <f>"9788028001230"</f>
        <v>9788028001230</v>
      </c>
    </row>
    <row r="8681" spans="1:4" x14ac:dyDescent="0.25">
      <c r="A8681" s="7" t="s">
        <v>1939</v>
      </c>
      <c r="B8681" s="8" t="s">
        <v>1940</v>
      </c>
      <c r="C8681" s="8" t="s">
        <v>1879</v>
      </c>
      <c r="D8681" s="8" t="str">
        <f>"9781909254411"</f>
        <v>9781909254411</v>
      </c>
    </row>
    <row r="8682" spans="1:4" x14ac:dyDescent="0.25">
      <c r="A8682" s="7" t="s">
        <v>15532</v>
      </c>
      <c r="B8682" s="8" t="s">
        <v>2546</v>
      </c>
      <c r="C8682" s="8" t="s">
        <v>1865</v>
      </c>
      <c r="D8682" s="8" t="str">
        <f>"9789175194844"</f>
        <v>9789175194844</v>
      </c>
    </row>
    <row r="8683" spans="1:4" x14ac:dyDescent="0.25">
      <c r="A8683" s="7" t="s">
        <v>6033</v>
      </c>
      <c r="B8683" s="8" t="s">
        <v>6034</v>
      </c>
      <c r="C8683" s="8" t="s">
        <v>5134</v>
      </c>
      <c r="D8683" s="8" t="str">
        <f>"9783662564653"</f>
        <v>9783662564653</v>
      </c>
    </row>
    <row r="8684" spans="1:4" x14ac:dyDescent="0.25">
      <c r="A8684" s="7" t="s">
        <v>2545</v>
      </c>
      <c r="B8684" s="8" t="s">
        <v>2546</v>
      </c>
      <c r="C8684" s="8" t="s">
        <v>1865</v>
      </c>
      <c r="D8684" s="8" t="str">
        <f>"9789176859087"</f>
        <v>9789176859087</v>
      </c>
    </row>
    <row r="8685" spans="1:4" ht="30" x14ac:dyDescent="0.25">
      <c r="A8685" s="7" t="s">
        <v>9656</v>
      </c>
      <c r="B8685" s="8" t="s">
        <v>9657</v>
      </c>
      <c r="C8685" s="8" t="s">
        <v>2273</v>
      </c>
      <c r="D8685" s="8" t="str">
        <f>"9783031040832"</f>
        <v>9783031040832</v>
      </c>
    </row>
    <row r="8686" spans="1:4" x14ac:dyDescent="0.25">
      <c r="A8686" s="7" t="s">
        <v>9430</v>
      </c>
      <c r="B8686" s="8" t="s">
        <v>9431</v>
      </c>
      <c r="C8686" s="8" t="s">
        <v>9256</v>
      </c>
      <c r="D8686" s="8" t="str">
        <f>"9788021098961"</f>
        <v>9788021098961</v>
      </c>
    </row>
    <row r="8687" spans="1:4" x14ac:dyDescent="0.25">
      <c r="A8687" s="7" t="s">
        <v>14202</v>
      </c>
      <c r="B8687" s="8" t="s">
        <v>9431</v>
      </c>
      <c r="C8687" s="8" t="s">
        <v>9256</v>
      </c>
      <c r="D8687" s="8" t="str">
        <f>"9788028000684"</f>
        <v>9788028000684</v>
      </c>
    </row>
    <row r="8688" spans="1:4" ht="30" x14ac:dyDescent="0.25">
      <c r="A8688" s="7" t="s">
        <v>14033</v>
      </c>
      <c r="B8688" s="8" t="s">
        <v>209</v>
      </c>
      <c r="C8688" s="8" t="s">
        <v>13997</v>
      </c>
      <c r="D8688" s="8" t="str">
        <f>"9789566095354"</f>
        <v>9789566095354</v>
      </c>
    </row>
    <row r="8689" spans="1:4" ht="30" x14ac:dyDescent="0.25">
      <c r="A8689" s="7" t="s">
        <v>8859</v>
      </c>
      <c r="B8689" s="8" t="s">
        <v>8860</v>
      </c>
      <c r="C8689" s="8" t="s">
        <v>2273</v>
      </c>
      <c r="D8689" s="8" t="str">
        <f>"9783030784980"</f>
        <v>9783030784980</v>
      </c>
    </row>
    <row r="8690" spans="1:4" x14ac:dyDescent="0.25">
      <c r="A8690" s="7" t="s">
        <v>2926</v>
      </c>
      <c r="B8690" s="8" t="s">
        <v>56</v>
      </c>
      <c r="C8690" s="8" t="s">
        <v>355</v>
      </c>
      <c r="D8690" s="8" t="str">
        <f>"9783110501728"</f>
        <v>9783110501728</v>
      </c>
    </row>
    <row r="8691" spans="1:4" ht="30" x14ac:dyDescent="0.25">
      <c r="A8691" s="7" t="s">
        <v>3860</v>
      </c>
      <c r="B8691" s="8" t="s">
        <v>3861</v>
      </c>
      <c r="C8691" s="8" t="s">
        <v>355</v>
      </c>
      <c r="D8691" s="8" t="str">
        <f>"9783110527971"</f>
        <v>9783110527971</v>
      </c>
    </row>
    <row r="8692" spans="1:4" x14ac:dyDescent="0.25">
      <c r="A8692" s="7" t="s">
        <v>10937</v>
      </c>
      <c r="B8692" s="8" t="s">
        <v>3861</v>
      </c>
      <c r="C8692" s="8" t="s">
        <v>355</v>
      </c>
      <c r="D8692" s="8" t="str">
        <f>"9783110577686"</f>
        <v>9783110577686</v>
      </c>
    </row>
    <row r="8693" spans="1:4" x14ac:dyDescent="0.25">
      <c r="A8693" s="7" t="s">
        <v>7060</v>
      </c>
      <c r="B8693" s="8" t="s">
        <v>47</v>
      </c>
      <c r="C8693" s="8" t="s">
        <v>355</v>
      </c>
      <c r="D8693" s="8" t="str">
        <f>"9783110618839"</f>
        <v>9783110618839</v>
      </c>
    </row>
    <row r="8694" spans="1:4" x14ac:dyDescent="0.25">
      <c r="A8694" s="7" t="s">
        <v>3671</v>
      </c>
      <c r="B8694" s="8" t="s">
        <v>1880</v>
      </c>
      <c r="C8694" s="8" t="s">
        <v>1879</v>
      </c>
      <c r="D8694" s="8" t="str">
        <f>"9781783744565"</f>
        <v>9781783744565</v>
      </c>
    </row>
    <row r="8695" spans="1:4" x14ac:dyDescent="0.25">
      <c r="A8695" s="7" t="s">
        <v>1945</v>
      </c>
      <c r="B8695" s="8" t="s">
        <v>1946</v>
      </c>
      <c r="C8695" s="8" t="s">
        <v>1879</v>
      </c>
      <c r="D8695" s="8" t="str">
        <f>"9781783740192"</f>
        <v>9781783740192</v>
      </c>
    </row>
    <row r="8696" spans="1:4" x14ac:dyDescent="0.25">
      <c r="A8696" s="7" t="s">
        <v>6797</v>
      </c>
      <c r="B8696" s="8" t="s">
        <v>6798</v>
      </c>
      <c r="C8696" s="8" t="s">
        <v>2273</v>
      </c>
      <c r="D8696" s="8" t="str">
        <f>"9783030650025"</f>
        <v>9783030650025</v>
      </c>
    </row>
    <row r="8697" spans="1:4" ht="30" x14ac:dyDescent="0.25">
      <c r="A8697" s="7" t="s">
        <v>8819</v>
      </c>
      <c r="B8697" s="8" t="s">
        <v>8820</v>
      </c>
      <c r="C8697" s="8" t="s">
        <v>8805</v>
      </c>
      <c r="D8697" s="8" t="str">
        <f>"9781934831038"</f>
        <v>9781934831038</v>
      </c>
    </row>
    <row r="8698" spans="1:4" ht="45" x14ac:dyDescent="0.25">
      <c r="A8698" s="7" t="s">
        <v>5887</v>
      </c>
      <c r="B8698" s="8" t="s">
        <v>94</v>
      </c>
      <c r="C8698" s="8" t="s">
        <v>2273</v>
      </c>
      <c r="D8698" s="8" t="str">
        <f>"9783319953939"</f>
        <v>9783319953939</v>
      </c>
    </row>
    <row r="8699" spans="1:4" ht="30" x14ac:dyDescent="0.25">
      <c r="A8699" s="7" t="s">
        <v>874</v>
      </c>
      <c r="B8699" s="8" t="s">
        <v>875</v>
      </c>
      <c r="C8699" s="8" t="s">
        <v>355</v>
      </c>
      <c r="D8699" s="8" t="str">
        <f>"9783110372335"</f>
        <v>9783110372335</v>
      </c>
    </row>
    <row r="8700" spans="1:4" x14ac:dyDescent="0.25">
      <c r="A8700" s="7" t="s">
        <v>12122</v>
      </c>
      <c r="B8700" s="8" t="s">
        <v>12123</v>
      </c>
      <c r="C8700" s="8" t="s">
        <v>355</v>
      </c>
      <c r="D8700" s="8" t="str">
        <f>"9783110733501"</f>
        <v>9783110733501</v>
      </c>
    </row>
    <row r="8701" spans="1:4" x14ac:dyDescent="0.25">
      <c r="A8701" s="7" t="s">
        <v>12614</v>
      </c>
      <c r="B8701" s="8" t="s">
        <v>12615</v>
      </c>
      <c r="C8701" s="8" t="s">
        <v>2273</v>
      </c>
      <c r="D8701" s="8" t="str">
        <f>"9783031061271"</f>
        <v>9783031061271</v>
      </c>
    </row>
    <row r="8702" spans="1:4" ht="30" x14ac:dyDescent="0.25">
      <c r="A8702" s="7" t="s">
        <v>14468</v>
      </c>
      <c r="B8702" s="8" t="s">
        <v>14469</v>
      </c>
      <c r="C8702" s="8" t="s">
        <v>1865</v>
      </c>
      <c r="D8702" s="8" t="str">
        <f>"9789179290481"</f>
        <v>9789179290481</v>
      </c>
    </row>
    <row r="8703" spans="1:4" x14ac:dyDescent="0.25">
      <c r="A8703" s="7" t="s">
        <v>15487</v>
      </c>
      <c r="B8703" s="8" t="s">
        <v>15088</v>
      </c>
      <c r="C8703" s="8" t="s">
        <v>1865</v>
      </c>
      <c r="D8703" s="8" t="str">
        <f>"9789175194417"</f>
        <v>9789175194417</v>
      </c>
    </row>
    <row r="8704" spans="1:4" ht="45" x14ac:dyDescent="0.25">
      <c r="A8704" s="7" t="s">
        <v>13336</v>
      </c>
      <c r="B8704" s="8" t="s">
        <v>13335</v>
      </c>
      <c r="C8704" s="8" t="s">
        <v>12712</v>
      </c>
      <c r="D8704" s="8" t="str">
        <f>"9783428574964"</f>
        <v>9783428574964</v>
      </c>
    </row>
    <row r="8705" spans="1:4" x14ac:dyDescent="0.25">
      <c r="A8705" s="7" t="s">
        <v>9442</v>
      </c>
      <c r="B8705" s="8" t="s">
        <v>9443</v>
      </c>
      <c r="C8705" s="8" t="s">
        <v>9256</v>
      </c>
      <c r="D8705" s="8" t="str">
        <f>"9788021099203"</f>
        <v>9788021099203</v>
      </c>
    </row>
    <row r="8706" spans="1:4" x14ac:dyDescent="0.25">
      <c r="A8706" s="7" t="s">
        <v>11769</v>
      </c>
      <c r="B8706" s="8" t="s">
        <v>12</v>
      </c>
      <c r="C8706" s="8" t="s">
        <v>355</v>
      </c>
      <c r="D8706" s="8" t="str">
        <f>"9783110619928"</f>
        <v>9783110619928</v>
      </c>
    </row>
    <row r="8707" spans="1:4" x14ac:dyDescent="0.25">
      <c r="A8707" s="7" t="s">
        <v>8259</v>
      </c>
      <c r="B8707" s="8" t="s">
        <v>7479</v>
      </c>
      <c r="C8707" s="8" t="s">
        <v>993</v>
      </c>
      <c r="D8707" s="8" t="str">
        <f>"9783839448625"</f>
        <v>9783839448625</v>
      </c>
    </row>
    <row r="8708" spans="1:4" x14ac:dyDescent="0.25">
      <c r="A8708" s="7" t="s">
        <v>13384</v>
      </c>
      <c r="B8708" s="8" t="s">
        <v>13385</v>
      </c>
      <c r="C8708" s="8" t="s">
        <v>12712</v>
      </c>
      <c r="D8708" s="8" t="str">
        <f>"9783428584871"</f>
        <v>9783428584871</v>
      </c>
    </row>
    <row r="8709" spans="1:4" x14ac:dyDescent="0.25">
      <c r="A8709" s="7" t="s">
        <v>8849</v>
      </c>
      <c r="B8709" s="8" t="s">
        <v>8850</v>
      </c>
      <c r="C8709" s="8" t="s">
        <v>4245</v>
      </c>
      <c r="D8709" s="8" t="str">
        <f>"9789811678493"</f>
        <v>9789811678493</v>
      </c>
    </row>
    <row r="8710" spans="1:4" x14ac:dyDescent="0.25">
      <c r="A8710" s="7" t="s">
        <v>9470</v>
      </c>
      <c r="B8710" s="8" t="s">
        <v>9471</v>
      </c>
      <c r="C8710" s="8" t="s">
        <v>1962</v>
      </c>
      <c r="D8710" s="8" t="str">
        <f>"9782759233113"</f>
        <v>9782759233113</v>
      </c>
    </row>
    <row r="8711" spans="1:4" x14ac:dyDescent="0.25">
      <c r="A8711" s="7" t="s">
        <v>7004</v>
      </c>
      <c r="B8711" s="8" t="s">
        <v>7005</v>
      </c>
      <c r="C8711" s="8" t="s">
        <v>355</v>
      </c>
      <c r="D8711" s="8" t="str">
        <f>"9783110629040"</f>
        <v>9783110629040</v>
      </c>
    </row>
    <row r="8712" spans="1:4" ht="30" x14ac:dyDescent="0.25">
      <c r="A8712" s="7" t="s">
        <v>12161</v>
      </c>
      <c r="B8712" s="8" t="s">
        <v>12162</v>
      </c>
      <c r="C8712" s="8" t="s">
        <v>355</v>
      </c>
      <c r="D8712" s="8" t="str">
        <f>"9783110726435"</f>
        <v>9783110726435</v>
      </c>
    </row>
    <row r="8713" spans="1:4" ht="30" x14ac:dyDescent="0.25">
      <c r="A8713" s="7" t="s">
        <v>12059</v>
      </c>
      <c r="B8713" s="8" t="s">
        <v>12060</v>
      </c>
      <c r="C8713" s="8" t="s">
        <v>355</v>
      </c>
      <c r="D8713" s="8" t="str">
        <f>"9783110760828"</f>
        <v>9783110760828</v>
      </c>
    </row>
    <row r="8714" spans="1:4" x14ac:dyDescent="0.25">
      <c r="A8714" s="7" t="s">
        <v>7571</v>
      </c>
      <c r="B8714" s="8" t="s">
        <v>7572</v>
      </c>
      <c r="C8714" s="8" t="s">
        <v>993</v>
      </c>
      <c r="D8714" s="8" t="str">
        <f>"9783839414354"</f>
        <v>9783839414354</v>
      </c>
    </row>
    <row r="8715" spans="1:4" x14ac:dyDescent="0.25">
      <c r="A8715" s="7" t="s">
        <v>8491</v>
      </c>
      <c r="B8715" s="8" t="s">
        <v>8492</v>
      </c>
      <c r="C8715" s="8" t="s">
        <v>993</v>
      </c>
      <c r="D8715" s="8" t="str">
        <f>"9783839456545"</f>
        <v>9783839456545</v>
      </c>
    </row>
    <row r="8716" spans="1:4" ht="30" x14ac:dyDescent="0.25">
      <c r="A8716" s="7" t="s">
        <v>7922</v>
      </c>
      <c r="B8716" s="8" t="s">
        <v>7923</v>
      </c>
      <c r="C8716" s="8" t="s">
        <v>5086</v>
      </c>
      <c r="D8716" s="8" t="str">
        <f>"9783658342982"</f>
        <v>9783658342982</v>
      </c>
    </row>
    <row r="8717" spans="1:4" ht="30" x14ac:dyDescent="0.25">
      <c r="A8717" s="7" t="s">
        <v>15884</v>
      </c>
      <c r="B8717" s="8" t="s">
        <v>15885</v>
      </c>
      <c r="C8717" s="8" t="s">
        <v>1865</v>
      </c>
      <c r="D8717" s="8" t="str">
        <f>"9789175199122"</f>
        <v>9789175199122</v>
      </c>
    </row>
    <row r="8718" spans="1:4" x14ac:dyDescent="0.25">
      <c r="A8718" s="7" t="s">
        <v>3212</v>
      </c>
      <c r="B8718" s="8" t="s">
        <v>3213</v>
      </c>
      <c r="C8718" s="8" t="s">
        <v>1879</v>
      </c>
      <c r="D8718" s="8" t="str">
        <f>"9781783743308"</f>
        <v>9781783743308</v>
      </c>
    </row>
    <row r="8719" spans="1:4" x14ac:dyDescent="0.25">
      <c r="A8719" s="7" t="s">
        <v>10394</v>
      </c>
      <c r="B8719" s="8" t="s">
        <v>10395</v>
      </c>
      <c r="C8719" s="8" t="s">
        <v>993</v>
      </c>
      <c r="D8719" s="8" t="str">
        <f>"9783839454466"</f>
        <v>9783839454466</v>
      </c>
    </row>
    <row r="8720" spans="1:4" x14ac:dyDescent="0.25">
      <c r="A8720" s="7" t="s">
        <v>4780</v>
      </c>
      <c r="B8720" s="8" t="s">
        <v>4781</v>
      </c>
      <c r="C8720" s="8" t="s">
        <v>329</v>
      </c>
      <c r="D8720" s="8" t="str">
        <f>"9789048537426"</f>
        <v>9789048537426</v>
      </c>
    </row>
    <row r="8721" spans="1:4" x14ac:dyDescent="0.25">
      <c r="A8721" s="7" t="s">
        <v>16160</v>
      </c>
      <c r="B8721" s="8" t="s">
        <v>15120</v>
      </c>
      <c r="C8721" s="8" t="s">
        <v>1865</v>
      </c>
      <c r="D8721" s="8" t="str">
        <f>"9789176858332"</f>
        <v>9789176858332</v>
      </c>
    </row>
    <row r="8722" spans="1:4" x14ac:dyDescent="0.25">
      <c r="A8722" s="7" t="s">
        <v>14783</v>
      </c>
      <c r="B8722" s="8" t="s">
        <v>14784</v>
      </c>
      <c r="C8722" s="8" t="s">
        <v>1865</v>
      </c>
      <c r="D8722" s="8" t="str">
        <f>"9789175193090"</f>
        <v>9789175193090</v>
      </c>
    </row>
    <row r="8723" spans="1:4" x14ac:dyDescent="0.25">
      <c r="A8723" s="7" t="s">
        <v>5987</v>
      </c>
      <c r="B8723" s="8" t="s">
        <v>5988</v>
      </c>
      <c r="C8723" s="8" t="s">
        <v>5134</v>
      </c>
      <c r="D8723" s="8" t="str">
        <f>"9783662492666"</f>
        <v>9783662492666</v>
      </c>
    </row>
    <row r="8724" spans="1:4" x14ac:dyDescent="0.25">
      <c r="A8724" s="7" t="s">
        <v>6232</v>
      </c>
      <c r="B8724" s="8" t="s">
        <v>6233</v>
      </c>
      <c r="C8724" s="8" t="s">
        <v>5134</v>
      </c>
      <c r="D8724" s="8" t="str">
        <f>"9783662459157"</f>
        <v>9783662459157</v>
      </c>
    </row>
    <row r="8725" spans="1:4" x14ac:dyDescent="0.25">
      <c r="A8725" s="7" t="s">
        <v>11640</v>
      </c>
      <c r="B8725" s="8" t="s">
        <v>11641</v>
      </c>
      <c r="C8725" s="8" t="s">
        <v>355</v>
      </c>
      <c r="D8725" s="8" t="str">
        <f>"9783110653663"</f>
        <v>9783110653663</v>
      </c>
    </row>
    <row r="8726" spans="1:4" ht="30" x14ac:dyDescent="0.25">
      <c r="A8726" s="7" t="s">
        <v>852</v>
      </c>
      <c r="B8726" s="8" t="s">
        <v>853</v>
      </c>
      <c r="C8726" s="8" t="s">
        <v>316</v>
      </c>
      <c r="D8726" s="8" t="str">
        <f>"9783110369267"</f>
        <v>9783110369267</v>
      </c>
    </row>
    <row r="8727" spans="1:4" x14ac:dyDescent="0.25">
      <c r="A8727" s="7" t="s">
        <v>1038</v>
      </c>
      <c r="B8727" s="8" t="s">
        <v>1039</v>
      </c>
      <c r="C8727" s="8" t="s">
        <v>355</v>
      </c>
      <c r="D8727" s="8" t="str">
        <f>"9783110349122"</f>
        <v>9783110349122</v>
      </c>
    </row>
    <row r="8728" spans="1:4" ht="30" x14ac:dyDescent="0.25">
      <c r="A8728" s="7" t="s">
        <v>9826</v>
      </c>
      <c r="B8728" s="8" t="s">
        <v>9827</v>
      </c>
      <c r="C8728" s="8" t="s">
        <v>993</v>
      </c>
      <c r="D8728" s="8" t="str">
        <f>"9783839405710"</f>
        <v>9783839405710</v>
      </c>
    </row>
    <row r="8729" spans="1:4" x14ac:dyDescent="0.25">
      <c r="A8729" s="7" t="s">
        <v>1555</v>
      </c>
      <c r="B8729" s="8" t="s">
        <v>1556</v>
      </c>
      <c r="C8729" s="8" t="s">
        <v>1345</v>
      </c>
      <c r="D8729" s="8" t="str">
        <f>"9783862192533"</f>
        <v>9783862192533</v>
      </c>
    </row>
    <row r="8730" spans="1:4" x14ac:dyDescent="0.25">
      <c r="A8730" s="7" t="s">
        <v>11925</v>
      </c>
      <c r="B8730" s="8" t="s">
        <v>11926</v>
      </c>
      <c r="C8730" s="8" t="s">
        <v>355</v>
      </c>
      <c r="D8730" s="8" t="str">
        <f>"9783486778014"</f>
        <v>9783486778014</v>
      </c>
    </row>
    <row r="8731" spans="1:4" x14ac:dyDescent="0.25">
      <c r="A8731" s="7" t="s">
        <v>1563</v>
      </c>
      <c r="B8731" s="8" t="s">
        <v>1564</v>
      </c>
      <c r="C8731" s="8" t="s">
        <v>1345</v>
      </c>
      <c r="D8731" s="8" t="str">
        <f>"9783862192977"</f>
        <v>9783862192977</v>
      </c>
    </row>
    <row r="8732" spans="1:4" ht="30" x14ac:dyDescent="0.25">
      <c r="A8732" s="7" t="s">
        <v>5039</v>
      </c>
      <c r="B8732" s="8" t="s">
        <v>5040</v>
      </c>
      <c r="C8732" s="8" t="s">
        <v>355</v>
      </c>
      <c r="D8732" s="8" t="str">
        <f>"9783110692716"</f>
        <v>9783110692716</v>
      </c>
    </row>
    <row r="8733" spans="1:4" x14ac:dyDescent="0.25">
      <c r="A8733" s="7" t="s">
        <v>11644</v>
      </c>
      <c r="B8733" s="8" t="s">
        <v>11645</v>
      </c>
      <c r="C8733" s="8" t="s">
        <v>355</v>
      </c>
      <c r="D8733" s="8" t="str">
        <f>"9783111580494"</f>
        <v>9783111580494</v>
      </c>
    </row>
    <row r="8734" spans="1:4" ht="30" x14ac:dyDescent="0.25">
      <c r="A8734" s="7" t="s">
        <v>11886</v>
      </c>
      <c r="B8734" s="8" t="s">
        <v>11887</v>
      </c>
      <c r="C8734" s="8" t="s">
        <v>355</v>
      </c>
      <c r="D8734" s="8" t="str">
        <f>"9783111599991"</f>
        <v>9783111599991</v>
      </c>
    </row>
    <row r="8735" spans="1:4" x14ac:dyDescent="0.25">
      <c r="A8735" s="7" t="s">
        <v>12732</v>
      </c>
      <c r="B8735" s="8" t="s">
        <v>12733</v>
      </c>
      <c r="C8735" s="8" t="s">
        <v>12712</v>
      </c>
      <c r="D8735" s="8" t="str">
        <f>"9783428405428"</f>
        <v>9783428405428</v>
      </c>
    </row>
    <row r="8736" spans="1:4" ht="30" x14ac:dyDescent="0.25">
      <c r="A8736" s="7" t="s">
        <v>13110</v>
      </c>
      <c r="B8736" s="8" t="s">
        <v>13072</v>
      </c>
      <c r="C8736" s="8" t="s">
        <v>12712</v>
      </c>
      <c r="D8736" s="8" t="str">
        <f>"9783428572793"</f>
        <v>9783428572793</v>
      </c>
    </row>
    <row r="8737" spans="1:4" x14ac:dyDescent="0.25">
      <c r="A8737" s="7" t="s">
        <v>12913</v>
      </c>
      <c r="B8737" s="8" t="s">
        <v>12914</v>
      </c>
      <c r="C8737" s="8" t="s">
        <v>12712</v>
      </c>
      <c r="D8737" s="8" t="str">
        <f>"9783428448104"</f>
        <v>9783428448104</v>
      </c>
    </row>
    <row r="8738" spans="1:4" x14ac:dyDescent="0.25">
      <c r="A8738" s="7" t="s">
        <v>12874</v>
      </c>
      <c r="B8738" s="8" t="s">
        <v>12875</v>
      </c>
      <c r="C8738" s="8" t="s">
        <v>12712</v>
      </c>
      <c r="D8738" s="8" t="str">
        <f>"9783428441518"</f>
        <v>9783428441518</v>
      </c>
    </row>
    <row r="8739" spans="1:4" x14ac:dyDescent="0.25">
      <c r="A8739" s="7" t="s">
        <v>12933</v>
      </c>
      <c r="B8739" s="8" t="s">
        <v>12900</v>
      </c>
      <c r="C8739" s="8" t="s">
        <v>12712</v>
      </c>
      <c r="D8739" s="8" t="str">
        <f>"9783428452569"</f>
        <v>9783428452569</v>
      </c>
    </row>
    <row r="8740" spans="1:4" x14ac:dyDescent="0.25">
      <c r="A8740" s="7" t="s">
        <v>12790</v>
      </c>
      <c r="B8740" s="8" t="s">
        <v>12791</v>
      </c>
      <c r="C8740" s="8" t="s">
        <v>12712</v>
      </c>
      <c r="D8740" s="8" t="str">
        <f>"9783428423248"</f>
        <v>9783428423248</v>
      </c>
    </row>
    <row r="8741" spans="1:4" ht="30" x14ac:dyDescent="0.25">
      <c r="A8741" s="7" t="s">
        <v>12917</v>
      </c>
      <c r="B8741" s="8" t="s">
        <v>12918</v>
      </c>
      <c r="C8741" s="8" t="s">
        <v>12712</v>
      </c>
      <c r="D8741" s="8" t="str">
        <f>"9783428448470"</f>
        <v>9783428448470</v>
      </c>
    </row>
    <row r="8742" spans="1:4" ht="45" x14ac:dyDescent="0.25">
      <c r="A8742" s="7" t="s">
        <v>13071</v>
      </c>
      <c r="B8742" s="8" t="s">
        <v>13072</v>
      </c>
      <c r="C8742" s="8" t="s">
        <v>12712</v>
      </c>
      <c r="D8742" s="8" t="str">
        <f>"9783428572489"</f>
        <v>9783428572489</v>
      </c>
    </row>
    <row r="8743" spans="1:4" ht="30" x14ac:dyDescent="0.25">
      <c r="A8743" s="7" t="s">
        <v>1731</v>
      </c>
      <c r="B8743" s="8" t="s">
        <v>1732</v>
      </c>
      <c r="C8743" s="8" t="s">
        <v>1345</v>
      </c>
      <c r="D8743" s="8" t="str">
        <f>"9783862194698"</f>
        <v>9783862194698</v>
      </c>
    </row>
    <row r="8744" spans="1:4" ht="30" x14ac:dyDescent="0.25">
      <c r="A8744" s="7" t="s">
        <v>10669</v>
      </c>
      <c r="B8744" s="8" t="s">
        <v>10670</v>
      </c>
      <c r="C8744" s="8" t="s">
        <v>5086</v>
      </c>
      <c r="D8744" s="8" t="str">
        <f>"9783658372569"</f>
        <v>9783658372569</v>
      </c>
    </row>
    <row r="8745" spans="1:4" x14ac:dyDescent="0.25">
      <c r="A8745" s="7" t="s">
        <v>12881</v>
      </c>
      <c r="B8745" s="8" t="s">
        <v>12759</v>
      </c>
      <c r="C8745" s="8" t="s">
        <v>12712</v>
      </c>
      <c r="D8745" s="8" t="str">
        <f>"9783428441815"</f>
        <v>9783428441815</v>
      </c>
    </row>
    <row r="8746" spans="1:4" x14ac:dyDescent="0.25">
      <c r="A8746" s="7" t="s">
        <v>12758</v>
      </c>
      <c r="B8746" s="8" t="s">
        <v>12759</v>
      </c>
      <c r="C8746" s="8" t="s">
        <v>12712</v>
      </c>
      <c r="D8746" s="8" t="str">
        <f>"9783428415359"</f>
        <v>9783428415359</v>
      </c>
    </row>
    <row r="8747" spans="1:4" ht="30" x14ac:dyDescent="0.25">
      <c r="A8747" s="7" t="s">
        <v>3533</v>
      </c>
      <c r="B8747" s="8" t="s">
        <v>3534</v>
      </c>
      <c r="C8747" s="8" t="s">
        <v>1345</v>
      </c>
      <c r="D8747" s="8" t="str">
        <f>"9783862198894"</f>
        <v>9783862198894</v>
      </c>
    </row>
    <row r="8748" spans="1:4" x14ac:dyDescent="0.25">
      <c r="A8748" s="7" t="s">
        <v>6426</v>
      </c>
      <c r="B8748" s="8" t="s">
        <v>6427</v>
      </c>
      <c r="C8748" s="8" t="s">
        <v>5086</v>
      </c>
      <c r="D8748" s="8" t="str">
        <f>"9783658308827"</f>
        <v>9783658308827</v>
      </c>
    </row>
    <row r="8749" spans="1:4" x14ac:dyDescent="0.25">
      <c r="A8749" s="7" t="s">
        <v>1559</v>
      </c>
      <c r="B8749" s="8" t="s">
        <v>1560</v>
      </c>
      <c r="C8749" s="8" t="s">
        <v>1345</v>
      </c>
      <c r="D8749" s="8" t="str">
        <f>"9783862192953"</f>
        <v>9783862192953</v>
      </c>
    </row>
    <row r="8750" spans="1:4" ht="30" x14ac:dyDescent="0.25">
      <c r="A8750" s="7" t="s">
        <v>7651</v>
      </c>
      <c r="B8750" s="8" t="s">
        <v>7652</v>
      </c>
      <c r="C8750" s="8" t="s">
        <v>993</v>
      </c>
      <c r="D8750" s="8" t="str">
        <f>"9783839422908"</f>
        <v>9783839422908</v>
      </c>
    </row>
    <row r="8751" spans="1:4" x14ac:dyDescent="0.25">
      <c r="A8751" s="7" t="s">
        <v>3541</v>
      </c>
      <c r="B8751" s="8" t="s">
        <v>3542</v>
      </c>
      <c r="C8751" s="8" t="s">
        <v>1345</v>
      </c>
      <c r="D8751" s="8" t="str">
        <f>"9783737604253"</f>
        <v>9783737604253</v>
      </c>
    </row>
    <row r="8752" spans="1:4" ht="30" x14ac:dyDescent="0.25">
      <c r="A8752" s="7" t="s">
        <v>9950</v>
      </c>
      <c r="B8752" s="8" t="s">
        <v>9951</v>
      </c>
      <c r="C8752" s="8" t="s">
        <v>993</v>
      </c>
      <c r="D8752" s="8" t="str">
        <f>"9783839408575"</f>
        <v>9783839408575</v>
      </c>
    </row>
    <row r="8753" spans="1:4" ht="30" x14ac:dyDescent="0.25">
      <c r="A8753" s="7" t="s">
        <v>3696</v>
      </c>
      <c r="B8753" s="8" t="s">
        <v>3697</v>
      </c>
      <c r="C8753" s="8" t="s">
        <v>1345</v>
      </c>
      <c r="D8753" s="8" t="str">
        <f>"9783737605038"</f>
        <v>9783737605038</v>
      </c>
    </row>
    <row r="8754" spans="1:4" ht="30" x14ac:dyDescent="0.25">
      <c r="A8754" s="7" t="s">
        <v>12283</v>
      </c>
      <c r="B8754" s="8" t="s">
        <v>12284</v>
      </c>
      <c r="C8754" s="8" t="s">
        <v>993</v>
      </c>
      <c r="D8754" s="8" t="str">
        <f>"9783839458525"</f>
        <v>9783839458525</v>
      </c>
    </row>
    <row r="8755" spans="1:4" ht="30" x14ac:dyDescent="0.25">
      <c r="A8755" s="7" t="s">
        <v>9740</v>
      </c>
      <c r="B8755" s="8" t="s">
        <v>9741</v>
      </c>
      <c r="C8755" s="8" t="s">
        <v>993</v>
      </c>
      <c r="D8755" s="8" t="str">
        <f>"9783839403198"</f>
        <v>9783839403198</v>
      </c>
    </row>
    <row r="8756" spans="1:4" ht="30" x14ac:dyDescent="0.25">
      <c r="A8756" s="7" t="s">
        <v>10434</v>
      </c>
      <c r="B8756" s="8" t="s">
        <v>10435</v>
      </c>
      <c r="C8756" s="8" t="s">
        <v>993</v>
      </c>
      <c r="D8756" s="8" t="str">
        <f>"9783839456637"</f>
        <v>9783839456637</v>
      </c>
    </row>
    <row r="8757" spans="1:4" ht="30" x14ac:dyDescent="0.25">
      <c r="A8757" s="7" t="s">
        <v>7778</v>
      </c>
      <c r="B8757" s="8" t="s">
        <v>7779</v>
      </c>
      <c r="C8757" s="8" t="s">
        <v>993</v>
      </c>
      <c r="D8757" s="8" t="str">
        <f>"9783839407585"</f>
        <v>9783839407585</v>
      </c>
    </row>
    <row r="8758" spans="1:4" ht="30" x14ac:dyDescent="0.25">
      <c r="A8758" s="7" t="s">
        <v>8293</v>
      </c>
      <c r="B8758" s="8" t="s">
        <v>8294</v>
      </c>
      <c r="C8758" s="8" t="s">
        <v>993</v>
      </c>
      <c r="D8758" s="8" t="str">
        <f>"9783839458297"</f>
        <v>9783839458297</v>
      </c>
    </row>
    <row r="8759" spans="1:4" ht="30" x14ac:dyDescent="0.25">
      <c r="A8759" s="7" t="s">
        <v>10597</v>
      </c>
      <c r="B8759" s="8" t="s">
        <v>10598</v>
      </c>
      <c r="C8759" s="8" t="s">
        <v>993</v>
      </c>
      <c r="D8759" s="8" t="str">
        <f>"9783839461440"</f>
        <v>9783839461440</v>
      </c>
    </row>
    <row r="8760" spans="1:4" x14ac:dyDescent="0.25">
      <c r="A8760" s="7" t="s">
        <v>3862</v>
      </c>
      <c r="B8760" s="8" t="s">
        <v>3863</v>
      </c>
      <c r="C8760" s="8" t="s">
        <v>355</v>
      </c>
      <c r="D8760" s="8" t="str">
        <f>"9783110528114"</f>
        <v>9783110528114</v>
      </c>
    </row>
    <row r="8761" spans="1:4" x14ac:dyDescent="0.25">
      <c r="A8761" s="7" t="s">
        <v>11264</v>
      </c>
      <c r="B8761" s="8" t="s">
        <v>11265</v>
      </c>
      <c r="C8761" s="8" t="s">
        <v>355</v>
      </c>
      <c r="D8761" s="8" t="str">
        <f>"9783110717679"</f>
        <v>9783110717679</v>
      </c>
    </row>
    <row r="8762" spans="1:4" ht="30" x14ac:dyDescent="0.25">
      <c r="A8762" s="7" t="s">
        <v>768</v>
      </c>
      <c r="B8762" s="8" t="s">
        <v>769</v>
      </c>
      <c r="C8762" s="8" t="s">
        <v>355</v>
      </c>
      <c r="D8762" s="8" t="str">
        <f>"9783486715194"</f>
        <v>9783486715194</v>
      </c>
    </row>
    <row r="8763" spans="1:4" ht="30" x14ac:dyDescent="0.25">
      <c r="A8763" s="7" t="s">
        <v>3817</v>
      </c>
      <c r="B8763" s="8" t="s">
        <v>3818</v>
      </c>
      <c r="C8763" s="8" t="s">
        <v>993</v>
      </c>
      <c r="D8763" s="8" t="str">
        <f>"9783839435946"</f>
        <v>9783839435946</v>
      </c>
    </row>
  </sheetData>
  <sortState ref="A4:D8763">
    <sortCondition ref="A4:A87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20230403_3142711_tenmak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Cem Coşkun</dc:creator>
  <cp:lastModifiedBy>Cem Coşkun</cp:lastModifiedBy>
  <dcterms:created xsi:type="dcterms:W3CDTF">2023-04-03T13:22:45Z</dcterms:created>
  <dcterms:modified xsi:type="dcterms:W3CDTF">2023-04-03T13:23:43Z</dcterms:modified>
</cp:coreProperties>
</file>